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defaultThemeVersion="166925"/>
  <mc:AlternateContent xmlns:mc="http://schemas.openxmlformats.org/markup-compatibility/2006">
    <mc:Choice Requires="x15">
      <x15ac:absPath xmlns:x15ac="http://schemas.microsoft.com/office/spreadsheetml/2010/11/ac" url="C:\_Arbeitsordner\01_Aktuelle Projekte\1373_GIZ THG-Tool\"/>
    </mc:Choice>
  </mc:AlternateContent>
  <xr:revisionPtr revIDLastSave="0" documentId="13_ncr:1_{C6D69919-9B08-42E2-86AB-9C47B1DDEAB5}" xr6:coauthVersionLast="36" xr6:coauthVersionMax="36" xr10:uidLastSave="{00000000-0000-0000-0000-000000000000}"/>
  <bookViews>
    <workbookView xWindow="0" yWindow="0" windowWidth="28800" windowHeight="12375" tabRatio="926" xr2:uid="{00000000-000D-0000-FFFF-FFFF00000000}"/>
  </bookViews>
  <sheets>
    <sheet name="Title" sheetId="21" r:id="rId1"/>
    <sheet name="Intro" sheetId="22" r:id="rId2"/>
    <sheet name="Notes" sheetId="45" r:id="rId3"/>
    <sheet name="Start" sheetId="1" r:id="rId4"/>
    <sheet name="Recycling" sheetId="5" r:id="rId5"/>
    <sheet name="Treatment &amp; Disposal" sheetId="2" r:id="rId6"/>
    <sheet name="Costs" sheetId="6" r:id="rId7"/>
    <sheet name="Calculation" sheetId="4" r:id="rId8"/>
    <sheet name="Factors" sheetId="28" r:id="rId9"/>
    <sheet name="LCA SQ" sheetId="7" r:id="rId10"/>
    <sheet name="LCA Sc1" sheetId="15" r:id="rId11"/>
    <sheet name="LCA Sc2" sheetId="17" r:id="rId12"/>
    <sheet name="LCA Sc3" sheetId="18" r:id="rId13"/>
    <sheet name="LCA results all" sheetId="13" r:id="rId14"/>
    <sheet name="Costs results all" sheetId="19" r:id="rId15"/>
    <sheet name="Bibliography" sheetId="39" r:id="rId16"/>
  </sheets>
  <externalReferences>
    <externalReference r:id="rId17"/>
    <externalReference r:id="rId18"/>
    <externalReference r:id="rId19"/>
  </externalReferences>
  <definedNames>
    <definedName name="Central_America">Factors!#REF!</definedName>
    <definedName name="Central_Asia">Factors!#REF!</definedName>
    <definedName name="Eastern_Africa">Factors!#REF!</definedName>
    <definedName name="Eastern_Asia">Factors!#REF!</definedName>
    <definedName name="Eastern_Europe">Factors!#REF!</definedName>
    <definedName name="langue" localSheetId="1">Intro!#REF!</definedName>
    <definedName name="langue" localSheetId="0">[1]Intro!#REF!</definedName>
    <definedName name="langue">#REF!</definedName>
    <definedName name="ListeA">'[2]Ne pas modifier - Do not modify'!$C$2:$C$638</definedName>
    <definedName name="ListeF">'[2]Ne pas modifier - Do not modify'!$B$2:$B$638</definedName>
    <definedName name="Middle_Africa">Factors!#REF!</definedName>
    <definedName name="Northern_Africa">Factors!#REF!</definedName>
    <definedName name="Northern_America">Factors!#REF!</definedName>
    <definedName name="Northern_Europe">Factors!#REF!</definedName>
    <definedName name="Oceania">Factors!#REF!</definedName>
    <definedName name="South_America">Factors!#REF!</definedName>
    <definedName name="South_Eastern_Asia">Factors!#REF!</definedName>
    <definedName name="Southern_Africa">Factors!#REF!</definedName>
    <definedName name="Southern_Asia">Factors!#REF!</definedName>
    <definedName name="Southern_Europe">Factors!#REF!</definedName>
    <definedName name="sssssss">Factors!#REF!</definedName>
    <definedName name="Western_Africa">Factors!#REF!</definedName>
    <definedName name="Western_Asia">Factors!#REF!</definedName>
    <definedName name="Western_Europe">Factors!#REF!</definedName>
    <definedName name="year">[3]Parameters!$E$9</definedName>
  </definedNames>
  <calcPr calcId="191029"/>
</workbook>
</file>

<file path=xl/calcChain.xml><?xml version="1.0" encoding="utf-8"?>
<calcChain xmlns="http://schemas.openxmlformats.org/spreadsheetml/2006/main">
  <c r="G86" i="2" l="1"/>
  <c r="B98" i="18" l="1"/>
  <c r="B98" i="17"/>
  <c r="B98" i="15"/>
  <c r="B98" i="7"/>
  <c r="A12" i="19"/>
  <c r="I33" i="5" l="1"/>
  <c r="H33" i="5"/>
  <c r="G33" i="5"/>
  <c r="E33" i="5" l="1"/>
  <c r="L37" i="2" l="1"/>
  <c r="E20" i="2"/>
  <c r="G20" i="2"/>
  <c r="J18" i="1" l="1"/>
  <c r="E55" i="2" l="1"/>
  <c r="H20" i="2"/>
  <c r="L28" i="4" l="1"/>
  <c r="C36" i="1" l="1"/>
  <c r="I30" i="2" l="1"/>
  <c r="H30" i="2"/>
  <c r="G30" i="2"/>
  <c r="E30" i="2"/>
  <c r="H114" i="2"/>
  <c r="I114" i="2"/>
  <c r="H91" i="2"/>
  <c r="I91" i="2"/>
  <c r="E91" i="2"/>
  <c r="G44" i="2"/>
  <c r="H36" i="5"/>
  <c r="E73" i="2"/>
  <c r="M32" i="28" l="1"/>
  <c r="N144" i="28" l="1"/>
  <c r="M144" i="28"/>
  <c r="C20" i="28" l="1"/>
  <c r="C19" i="28"/>
  <c r="C18" i="28"/>
  <c r="C17" i="28"/>
  <c r="C16" i="28"/>
  <c r="C14" i="28"/>
  <c r="I127" i="2" l="1"/>
  <c r="E127" i="2"/>
  <c r="G109" i="2"/>
  <c r="H109" i="2"/>
  <c r="I109" i="2"/>
  <c r="E109" i="2"/>
  <c r="I105" i="2"/>
  <c r="E105" i="2"/>
  <c r="I86" i="2"/>
  <c r="E86" i="2"/>
  <c r="G55" i="2"/>
  <c r="I55" i="2"/>
  <c r="H55" i="2"/>
  <c r="I20" i="2"/>
  <c r="I43" i="5"/>
  <c r="H43" i="5"/>
  <c r="G43" i="5"/>
  <c r="E43" i="5"/>
  <c r="H127" i="2" l="1"/>
  <c r="D71" i="28" l="1"/>
  <c r="V113" i="4" s="1"/>
  <c r="C71" i="28"/>
  <c r="V112" i="4" s="1"/>
  <c r="D70" i="28"/>
  <c r="C70" i="28"/>
  <c r="V95" i="4" l="1"/>
  <c r="C72" i="28"/>
  <c r="V136" i="4" s="1"/>
  <c r="V96" i="4"/>
  <c r="D72" i="28"/>
  <c r="V137" i="4" s="1"/>
  <c r="W16" i="4" l="1"/>
  <c r="V79" i="4"/>
  <c r="V31" i="4"/>
  <c r="U17" i="4"/>
  <c r="V16" i="4"/>
  <c r="H86" i="2" l="1"/>
  <c r="H105" i="2"/>
  <c r="I28" i="5" l="1"/>
  <c r="H28" i="5"/>
  <c r="G28" i="5"/>
  <c r="E28" i="5"/>
  <c r="I44" i="2" l="1"/>
  <c r="H44" i="2"/>
  <c r="E44" i="2"/>
  <c r="K83" i="18" l="1"/>
  <c r="K71" i="18"/>
  <c r="K82" i="18" s="1"/>
  <c r="K70" i="18"/>
  <c r="K81" i="18" s="1"/>
  <c r="K69" i="18"/>
  <c r="K80" i="18" s="1"/>
  <c r="K68" i="18"/>
  <c r="K79" i="18" s="1"/>
  <c r="K67" i="18"/>
  <c r="K78" i="18" s="1"/>
  <c r="K66" i="18"/>
  <c r="K77" i="18" s="1"/>
  <c r="K65" i="18"/>
  <c r="K76" i="18" s="1"/>
  <c r="K64" i="18"/>
  <c r="K75" i="18" s="1"/>
  <c r="K63" i="18"/>
  <c r="K74" i="18" s="1"/>
  <c r="K83" i="17"/>
  <c r="K71" i="17"/>
  <c r="K82" i="17" s="1"/>
  <c r="K70" i="17"/>
  <c r="K81" i="17" s="1"/>
  <c r="K69" i="17"/>
  <c r="K80" i="17" s="1"/>
  <c r="K68" i="17"/>
  <c r="K79" i="17" s="1"/>
  <c r="K67" i="17"/>
  <c r="K78" i="17" s="1"/>
  <c r="K66" i="17"/>
  <c r="K77" i="17" s="1"/>
  <c r="K65" i="17"/>
  <c r="K76" i="17" s="1"/>
  <c r="K64" i="17"/>
  <c r="K75" i="17" s="1"/>
  <c r="K63" i="17"/>
  <c r="K74" i="17" s="1"/>
  <c r="K83" i="15"/>
  <c r="K71" i="15"/>
  <c r="K82" i="15" s="1"/>
  <c r="K70" i="15"/>
  <c r="K81" i="15" s="1"/>
  <c r="K69" i="15"/>
  <c r="K80" i="15" s="1"/>
  <c r="K68" i="15"/>
  <c r="K79" i="15" s="1"/>
  <c r="K67" i="15"/>
  <c r="K78" i="15" s="1"/>
  <c r="K66" i="15"/>
  <c r="K77" i="15" s="1"/>
  <c r="K65" i="15"/>
  <c r="K76" i="15" s="1"/>
  <c r="K64" i="15"/>
  <c r="K75" i="15" s="1"/>
  <c r="K63" i="15"/>
  <c r="K74" i="15" s="1"/>
  <c r="K83" i="7" l="1"/>
  <c r="K71" i="7"/>
  <c r="K82" i="7" s="1"/>
  <c r="K70" i="7"/>
  <c r="K81" i="7" s="1"/>
  <c r="K69" i="7"/>
  <c r="K80" i="7" s="1"/>
  <c r="K68" i="7"/>
  <c r="K79" i="7" s="1"/>
  <c r="K67" i="7"/>
  <c r="K78" i="7" s="1"/>
  <c r="K66" i="7"/>
  <c r="K77" i="7" s="1"/>
  <c r="K65" i="7"/>
  <c r="K76" i="7" s="1"/>
  <c r="K64" i="7"/>
  <c r="K75" i="7" s="1"/>
  <c r="K63" i="7"/>
  <c r="K74" i="7" s="1"/>
  <c r="R18" i="18"/>
  <c r="R18" i="17"/>
  <c r="R18" i="15"/>
  <c r="R18" i="7"/>
  <c r="X142" i="4"/>
  <c r="Y141" i="4"/>
  <c r="X141" i="4"/>
  <c r="V142" i="4"/>
  <c r="V141" i="4"/>
  <c r="S135" i="4"/>
  <c r="T126" i="4"/>
  <c r="Y126" i="4" s="1"/>
  <c r="Y128" i="4" s="1"/>
  <c r="T131" i="4"/>
  <c r="T130" i="4"/>
  <c r="T129" i="4"/>
  <c r="Y118" i="4"/>
  <c r="X118" i="4"/>
  <c r="V118" i="4"/>
  <c r="T122" i="4"/>
  <c r="T117" i="4"/>
  <c r="V117" i="4" s="1"/>
  <c r="S111" i="4"/>
  <c r="Y131" i="4" l="1"/>
  <c r="Y142" i="4"/>
  <c r="V126" i="4"/>
  <c r="V127" i="4" s="1"/>
  <c r="W126" i="4"/>
  <c r="W127" i="4" s="1"/>
  <c r="X126" i="4"/>
  <c r="X128" i="4" s="1"/>
  <c r="X131" i="4" s="1"/>
  <c r="Y127" i="4"/>
  <c r="Y117" i="4"/>
  <c r="X117" i="4"/>
  <c r="Y101" i="4"/>
  <c r="X101" i="4"/>
  <c r="V101" i="4"/>
  <c r="Y100" i="4"/>
  <c r="X100" i="4"/>
  <c r="V100" i="4"/>
  <c r="V128" i="4" l="1"/>
  <c r="V131" i="4" s="1"/>
  <c r="W128" i="4"/>
  <c r="W131" i="4" s="1"/>
  <c r="X127" i="4"/>
  <c r="AD49" i="4"/>
  <c r="AD48" i="4"/>
  <c r="B52" i="15" l="1"/>
  <c r="B52" i="17"/>
  <c r="B52" i="18"/>
  <c r="B51" i="15"/>
  <c r="B51" i="17"/>
  <c r="B51" i="18"/>
  <c r="AD60" i="4"/>
  <c r="B52" i="7"/>
  <c r="AD70" i="4"/>
  <c r="B51" i="7"/>
  <c r="AD71" i="4"/>
  <c r="AD59" i="4"/>
  <c r="I62" i="2"/>
  <c r="H62" i="2"/>
  <c r="G62" i="2"/>
  <c r="E62" i="2"/>
  <c r="G91" i="2"/>
  <c r="G114" i="2"/>
  <c r="E114" i="2"/>
  <c r="I73" i="2"/>
  <c r="H73" i="2"/>
  <c r="G73" i="2"/>
  <c r="G127" i="2" l="1"/>
  <c r="G105" i="2"/>
  <c r="W117" i="4"/>
  <c r="W118" i="4"/>
  <c r="W141" i="4"/>
  <c r="W142" i="4"/>
  <c r="W100" i="4"/>
  <c r="W101" i="4"/>
  <c r="S94" i="4"/>
  <c r="S87" i="4" l="1"/>
  <c r="T88" i="4"/>
  <c r="I36" i="5" l="1"/>
  <c r="G36" i="5"/>
  <c r="E36" i="5"/>
  <c r="S76" i="4" l="1"/>
  <c r="E7" i="4"/>
  <c r="T73" i="4" l="1"/>
  <c r="T72" i="4"/>
  <c r="T71" i="4"/>
  <c r="Y59" i="4" l="1"/>
  <c r="X59" i="4"/>
  <c r="W59" i="4"/>
  <c r="V59" i="4"/>
  <c r="T66" i="4"/>
  <c r="S63" i="4"/>
  <c r="S62" i="4"/>
  <c r="S61" i="4"/>
  <c r="AD47" i="4" l="1"/>
  <c r="AD46" i="4"/>
  <c r="AD45" i="4"/>
  <c r="AD44" i="4"/>
  <c r="AD43" i="4"/>
  <c r="AD42" i="4"/>
  <c r="AD41" i="4"/>
  <c r="B44" i="7" l="1"/>
  <c r="B44" i="18"/>
  <c r="B44" i="15"/>
  <c r="B44" i="17"/>
  <c r="B48" i="7"/>
  <c r="B48" i="15"/>
  <c r="B48" i="17"/>
  <c r="B48" i="18"/>
  <c r="B47" i="7"/>
  <c r="B47" i="15"/>
  <c r="B47" i="17"/>
  <c r="B47" i="18"/>
  <c r="B49" i="7"/>
  <c r="B49" i="15"/>
  <c r="B49" i="17"/>
  <c r="B49" i="18"/>
  <c r="B46" i="7"/>
  <c r="B46" i="15"/>
  <c r="B46" i="17"/>
  <c r="B46" i="18"/>
  <c r="B50" i="7"/>
  <c r="B50" i="15"/>
  <c r="B50" i="17"/>
  <c r="B50" i="18"/>
  <c r="B45" i="7"/>
  <c r="B45" i="18"/>
  <c r="B45" i="15"/>
  <c r="B45" i="17"/>
  <c r="AD68" i="4"/>
  <c r="AD57" i="4"/>
  <c r="AD52" i="4"/>
  <c r="AD63" i="4"/>
  <c r="AD58" i="4"/>
  <c r="AD69" i="4"/>
  <c r="AD53" i="4"/>
  <c r="AD64" i="4"/>
  <c r="AD67" i="4"/>
  <c r="AD56" i="4"/>
  <c r="AD66" i="4"/>
  <c r="AD55" i="4"/>
  <c r="AD65" i="4"/>
  <c r="AD54" i="4"/>
  <c r="U33" i="4"/>
  <c r="Y33" i="4" l="1"/>
  <c r="Y34" i="4" s="1"/>
  <c r="X33" i="4"/>
  <c r="W33" i="4"/>
  <c r="V33" i="4"/>
  <c r="V35" i="4" s="1"/>
  <c r="V38" i="4" s="1"/>
  <c r="Y35" i="4" l="1"/>
  <c r="Y38" i="4" s="1"/>
  <c r="W35" i="4"/>
  <c r="W38" i="4" s="1"/>
  <c r="W34" i="4"/>
  <c r="X34" i="4"/>
  <c r="X35" i="4"/>
  <c r="X38" i="4" s="1"/>
  <c r="V34" i="4"/>
  <c r="V32" i="4" l="1"/>
  <c r="T29" i="4"/>
  <c r="V29" i="4" s="1"/>
  <c r="T28" i="4" l="1"/>
  <c r="T25" i="4"/>
  <c r="Z17" i="4" l="1"/>
  <c r="Z16" i="4"/>
  <c r="Y17" i="4"/>
  <c r="Y16" i="4"/>
  <c r="X17" i="4"/>
  <c r="X16" i="4"/>
  <c r="W17" i="4"/>
  <c r="V17" i="4"/>
  <c r="W145" i="4" l="1"/>
  <c r="Y145" i="4"/>
  <c r="X145" i="4"/>
  <c r="V145" i="4"/>
  <c r="V104" i="4"/>
  <c r="W140" i="4"/>
  <c r="Y140" i="4"/>
  <c r="V140" i="4"/>
  <c r="V99" i="4"/>
  <c r="X140" i="4"/>
  <c r="W121" i="4"/>
  <c r="Y121" i="4"/>
  <c r="X121" i="4"/>
  <c r="V121" i="4"/>
  <c r="W116" i="4"/>
  <c r="V116" i="4"/>
  <c r="Y116" i="4"/>
  <c r="X116" i="4"/>
  <c r="Y104" i="4"/>
  <c r="X104" i="4"/>
  <c r="W104" i="4"/>
  <c r="Y99" i="4"/>
  <c r="X99" i="4"/>
  <c r="W99" i="4"/>
  <c r="V18" i="4"/>
  <c r="Z18" i="4"/>
  <c r="Y18" i="4"/>
  <c r="X18" i="4"/>
  <c r="W18" i="4"/>
  <c r="V23" i="4" l="1"/>
  <c r="V24" i="4"/>
  <c r="M26" i="4" l="1"/>
  <c r="T26" i="4" l="1"/>
  <c r="Y21" i="4" l="1"/>
  <c r="X21" i="4"/>
  <c r="W21" i="4"/>
  <c r="V21" i="4"/>
  <c r="V49" i="4" l="1"/>
  <c r="W49" i="4"/>
  <c r="X49" i="4"/>
  <c r="Y49" i="4"/>
  <c r="V52" i="4"/>
  <c r="V53" i="4"/>
  <c r="V55" i="4"/>
  <c r="W55" i="4"/>
  <c r="X55" i="4"/>
  <c r="Y55" i="4"/>
  <c r="V56" i="4"/>
  <c r="W56" i="4"/>
  <c r="X56" i="4"/>
  <c r="Y56" i="4"/>
  <c r="V57" i="4"/>
  <c r="W57" i="4"/>
  <c r="X57" i="4"/>
  <c r="Y57" i="4"/>
  <c r="V58" i="4"/>
  <c r="W58" i="4"/>
  <c r="X58" i="4"/>
  <c r="Y58" i="4"/>
  <c r="AD5" i="4"/>
  <c r="AD4" i="4"/>
  <c r="AD3" i="4"/>
  <c r="AD2" i="4"/>
  <c r="D87" i="1"/>
  <c r="D86" i="1"/>
  <c r="N32" i="28" s="1"/>
  <c r="D85" i="1"/>
  <c r="D84" i="1"/>
  <c r="AE2" i="4" l="1"/>
  <c r="AE3" i="4"/>
  <c r="AE4" i="4"/>
  <c r="AE5" i="4"/>
  <c r="L37" i="4"/>
  <c r="L36" i="4"/>
  <c r="L35" i="4"/>
  <c r="L34" i="4"/>
  <c r="L33" i="4"/>
  <c r="L32" i="4"/>
  <c r="L31" i="4"/>
  <c r="L30" i="4"/>
  <c r="L29" i="4"/>
  <c r="AH10" i="4"/>
  <c r="AG10" i="4"/>
  <c r="AF10" i="4"/>
  <c r="AE10" i="4"/>
  <c r="B34" i="2" l="1"/>
  <c r="U57" i="4" s="1"/>
  <c r="B33" i="2"/>
  <c r="U56" i="4" s="1"/>
  <c r="B32" i="2"/>
  <c r="U55" i="4" s="1"/>
  <c r="I26" i="2"/>
  <c r="H26" i="2"/>
  <c r="G26" i="2"/>
  <c r="E26" i="2"/>
  <c r="I8" i="2"/>
  <c r="H8" i="2"/>
  <c r="G8" i="2"/>
  <c r="E8" i="2"/>
  <c r="S45" i="4"/>
  <c r="AN2" i="4"/>
  <c r="AM2" i="4"/>
  <c r="AL2" i="4"/>
  <c r="AK2" i="4"/>
  <c r="P26" i="4"/>
  <c r="O26" i="4"/>
  <c r="N26" i="4"/>
  <c r="P5" i="4"/>
  <c r="O5" i="4"/>
  <c r="N5" i="4"/>
  <c r="M5" i="4"/>
  <c r="Y44" i="4"/>
  <c r="X44" i="4"/>
  <c r="W44" i="4"/>
  <c r="V44" i="4"/>
  <c r="G122" i="4"/>
  <c r="F122" i="4"/>
  <c r="E122" i="4"/>
  <c r="D122" i="4"/>
  <c r="G117" i="4"/>
  <c r="F117" i="4"/>
  <c r="E117" i="4"/>
  <c r="D117" i="4"/>
  <c r="G100" i="4"/>
  <c r="F100" i="4"/>
  <c r="E100" i="4"/>
  <c r="D100" i="4"/>
  <c r="G82" i="4"/>
  <c r="F82" i="4"/>
  <c r="E82" i="4"/>
  <c r="D82" i="4"/>
  <c r="G71" i="4"/>
  <c r="F71" i="4"/>
  <c r="E71" i="4"/>
  <c r="D71" i="4"/>
  <c r="M36" i="2" l="1"/>
  <c r="M35" i="2"/>
  <c r="M34" i="2"/>
  <c r="M33" i="2"/>
  <c r="M32" i="2"/>
  <c r="M31" i="2"/>
  <c r="M30" i="2"/>
  <c r="M29" i="2"/>
  <c r="D20" i="4"/>
  <c r="D19" i="4"/>
  <c r="C20" i="4"/>
  <c r="C19" i="4"/>
  <c r="M39" i="2" l="1"/>
  <c r="D21" i="4"/>
  <c r="C21" i="4"/>
  <c r="D26" i="4"/>
  <c r="N137" i="28"/>
  <c r="D25" i="4" s="1"/>
  <c r="N139" i="28"/>
  <c r="D24" i="4" s="1"/>
  <c r="N140" i="28"/>
  <c r="D23" i="4" s="1"/>
  <c r="N135" i="28"/>
  <c r="D22" i="4" s="1"/>
  <c r="N141" i="28"/>
  <c r="D18" i="4" s="1"/>
  <c r="N134" i="28"/>
  <c r="D17" i="4" s="1"/>
  <c r="N138" i="28"/>
  <c r="D16" i="4" s="1"/>
  <c r="N136" i="28"/>
  <c r="D15" i="4" s="1"/>
  <c r="M138" i="28"/>
  <c r="C16" i="4" s="1"/>
  <c r="M134" i="28"/>
  <c r="C17" i="4" s="1"/>
  <c r="M141" i="28"/>
  <c r="C18" i="4" s="1"/>
  <c r="M135" i="28"/>
  <c r="C22" i="4" s="1"/>
  <c r="M140" i="28"/>
  <c r="C23" i="4" s="1"/>
  <c r="M139" i="28"/>
  <c r="C24" i="4" s="1"/>
  <c r="M137" i="28"/>
  <c r="C25" i="4" s="1"/>
  <c r="C26" i="4"/>
  <c r="M136" i="28"/>
  <c r="C15" i="4" s="1"/>
  <c r="L17" i="1" l="1"/>
  <c r="I19" i="1" l="1"/>
  <c r="J25" i="1" l="1"/>
  <c r="J26" i="1" s="1"/>
  <c r="O301" i="28"/>
  <c r="P301" i="28"/>
  <c r="Q301" i="28"/>
  <c r="R301" i="28"/>
  <c r="S301" i="28"/>
  <c r="T301" i="28"/>
  <c r="U301" i="28"/>
  <c r="V301" i="28"/>
  <c r="W301" i="28"/>
  <c r="X301" i="28"/>
  <c r="N301" i="28"/>
  <c r="N291" i="28"/>
  <c r="F301" i="28"/>
  <c r="J24" i="1" l="1"/>
  <c r="C72" i="1"/>
  <c r="O387" i="28" l="1"/>
  <c r="P387" i="28"/>
  <c r="Q387" i="28"/>
  <c r="R387" i="28"/>
  <c r="S387" i="28"/>
  <c r="T387" i="28"/>
  <c r="U387" i="28"/>
  <c r="V387" i="28"/>
  <c r="W387" i="28"/>
  <c r="X387" i="28"/>
  <c r="O388" i="28"/>
  <c r="P388" i="28"/>
  <c r="Q388" i="28"/>
  <c r="R388" i="28"/>
  <c r="S388" i="28"/>
  <c r="T388" i="28"/>
  <c r="U388" i="28"/>
  <c r="V388" i="28"/>
  <c r="W388" i="28"/>
  <c r="X388" i="28"/>
  <c r="N388" i="28"/>
  <c r="F388" i="28"/>
  <c r="L388" i="28"/>
  <c r="N387" i="28"/>
  <c r="F387" i="28"/>
  <c r="O376" i="28"/>
  <c r="P376" i="28"/>
  <c r="Q376" i="28"/>
  <c r="R376" i="28"/>
  <c r="S376" i="28"/>
  <c r="T376" i="28"/>
  <c r="U376" i="28"/>
  <c r="V376" i="28"/>
  <c r="W376" i="28"/>
  <c r="X376" i="28"/>
  <c r="N376" i="28"/>
  <c r="L376" i="28"/>
  <c r="F376" i="28"/>
  <c r="O375" i="28"/>
  <c r="P375" i="28"/>
  <c r="Q375" i="28"/>
  <c r="R375" i="28"/>
  <c r="S375" i="28"/>
  <c r="T375" i="28"/>
  <c r="U375" i="28"/>
  <c r="V375" i="28"/>
  <c r="W375" i="28"/>
  <c r="X375" i="28"/>
  <c r="N375" i="28"/>
  <c r="F375" i="28"/>
  <c r="O368" i="28"/>
  <c r="P368" i="28"/>
  <c r="Q368" i="28"/>
  <c r="R368" i="28"/>
  <c r="S368" i="28"/>
  <c r="T368" i="28"/>
  <c r="U368" i="28"/>
  <c r="V368" i="28"/>
  <c r="W368" i="28"/>
  <c r="X368" i="28"/>
  <c r="N368" i="28"/>
  <c r="F368" i="28"/>
  <c r="L368" i="28"/>
  <c r="O364" i="28"/>
  <c r="P364" i="28"/>
  <c r="Q364" i="28"/>
  <c r="R364" i="28"/>
  <c r="S364" i="28"/>
  <c r="T364" i="28"/>
  <c r="U364" i="28"/>
  <c r="V364" i="28"/>
  <c r="W364" i="28"/>
  <c r="X364" i="28"/>
  <c r="N364" i="28"/>
  <c r="F364" i="28"/>
  <c r="L364" i="28"/>
  <c r="O356" i="28"/>
  <c r="P356" i="28"/>
  <c r="Q356" i="28"/>
  <c r="R356" i="28"/>
  <c r="S356" i="28"/>
  <c r="T356" i="28"/>
  <c r="U356" i="28"/>
  <c r="V356" i="28"/>
  <c r="W356" i="28"/>
  <c r="X356" i="28"/>
  <c r="N356" i="28"/>
  <c r="F356" i="28"/>
  <c r="O354" i="28"/>
  <c r="P354" i="28"/>
  <c r="Q354" i="28"/>
  <c r="R354" i="28"/>
  <c r="S354" i="28"/>
  <c r="T354" i="28"/>
  <c r="U354" i="28"/>
  <c r="V354" i="28"/>
  <c r="W354" i="28"/>
  <c r="X354" i="28"/>
  <c r="N354" i="28"/>
  <c r="F354" i="28"/>
  <c r="L354" i="28"/>
  <c r="O351" i="28"/>
  <c r="P351" i="28"/>
  <c r="Q351" i="28"/>
  <c r="R351" i="28"/>
  <c r="S351" i="28"/>
  <c r="T351" i="28"/>
  <c r="U351" i="28"/>
  <c r="V351" i="28"/>
  <c r="W351" i="28"/>
  <c r="X351" i="28"/>
  <c r="O350" i="28"/>
  <c r="P350" i="28"/>
  <c r="Q350" i="28"/>
  <c r="R350" i="28"/>
  <c r="S350" i="28"/>
  <c r="T350" i="28"/>
  <c r="U350" i="28"/>
  <c r="V350" i="28"/>
  <c r="W350" i="28"/>
  <c r="X350" i="28"/>
  <c r="N350" i="28"/>
  <c r="F350" i="28"/>
  <c r="O342" i="28"/>
  <c r="P342" i="28"/>
  <c r="Q342" i="28"/>
  <c r="R342" i="28"/>
  <c r="S342" i="28"/>
  <c r="T342" i="28"/>
  <c r="U342" i="28"/>
  <c r="V342" i="28"/>
  <c r="W342" i="28"/>
  <c r="X342" i="28"/>
  <c r="N342" i="28"/>
  <c r="L342" i="28"/>
  <c r="F342" i="28"/>
  <c r="O341" i="28"/>
  <c r="P341" i="28"/>
  <c r="Q341" i="28"/>
  <c r="R341" i="28"/>
  <c r="S341" i="28"/>
  <c r="T341" i="28"/>
  <c r="U341" i="28"/>
  <c r="V341" i="28"/>
  <c r="W341" i="28"/>
  <c r="X341" i="28"/>
  <c r="N341" i="28"/>
  <c r="L341" i="28"/>
  <c r="F341" i="28"/>
  <c r="O339" i="28"/>
  <c r="P339" i="28"/>
  <c r="Q339" i="28"/>
  <c r="R339" i="28"/>
  <c r="S339" i="28"/>
  <c r="T339" i="28"/>
  <c r="U339" i="28"/>
  <c r="V339" i="28"/>
  <c r="W339" i="28"/>
  <c r="X339" i="28"/>
  <c r="N339" i="28"/>
  <c r="F339" i="28"/>
  <c r="L339" i="28"/>
  <c r="O338" i="28"/>
  <c r="P338" i="28"/>
  <c r="Q338" i="28"/>
  <c r="R338" i="28"/>
  <c r="S338" i="28"/>
  <c r="T338" i="28"/>
  <c r="U338" i="28"/>
  <c r="V338" i="28"/>
  <c r="W338" i="28"/>
  <c r="X338" i="28"/>
  <c r="N338" i="28"/>
  <c r="F338" i="28"/>
  <c r="O335" i="28"/>
  <c r="P335" i="28"/>
  <c r="Q335" i="28"/>
  <c r="R335" i="28"/>
  <c r="S335" i="28"/>
  <c r="T335" i="28"/>
  <c r="U335" i="28"/>
  <c r="V335" i="28"/>
  <c r="W335" i="28"/>
  <c r="X335" i="28"/>
  <c r="N335" i="28"/>
  <c r="F335" i="28"/>
  <c r="L335" i="28"/>
  <c r="O329" i="28"/>
  <c r="P329" i="28"/>
  <c r="Q329" i="28"/>
  <c r="R329" i="28"/>
  <c r="S329" i="28"/>
  <c r="T329" i="28"/>
  <c r="U329" i="28"/>
  <c r="V329" i="28"/>
  <c r="W329" i="28"/>
  <c r="X329" i="28"/>
  <c r="O323" i="28"/>
  <c r="P323" i="28"/>
  <c r="Q323" i="28"/>
  <c r="R323" i="28"/>
  <c r="S323" i="28"/>
  <c r="T323" i="28"/>
  <c r="U323" i="28"/>
  <c r="V323" i="28"/>
  <c r="W323" i="28"/>
  <c r="X323" i="28"/>
  <c r="N329" i="28"/>
  <c r="F329" i="28"/>
  <c r="N323" i="28"/>
  <c r="L323" i="28"/>
  <c r="F323" i="28"/>
  <c r="O320" i="28"/>
  <c r="P320" i="28"/>
  <c r="Q320" i="28"/>
  <c r="R320" i="28"/>
  <c r="S320" i="28"/>
  <c r="T320" i="28"/>
  <c r="U320" i="28"/>
  <c r="V320" i="28"/>
  <c r="W320" i="28"/>
  <c r="X320" i="28"/>
  <c r="N320" i="28"/>
  <c r="L320" i="28"/>
  <c r="F320" i="28"/>
  <c r="O317" i="28"/>
  <c r="P317" i="28"/>
  <c r="Q317" i="28"/>
  <c r="R317" i="28"/>
  <c r="S317" i="28"/>
  <c r="T317" i="28"/>
  <c r="U317" i="28"/>
  <c r="V317" i="28"/>
  <c r="W317" i="28"/>
  <c r="X317" i="28"/>
  <c r="N317" i="28"/>
  <c r="U4" i="4" l="1"/>
  <c r="O316" i="28"/>
  <c r="P316" i="28"/>
  <c r="Q316" i="28"/>
  <c r="R316" i="28"/>
  <c r="S316" i="28"/>
  <c r="T316" i="28"/>
  <c r="U316" i="28"/>
  <c r="V316" i="28"/>
  <c r="W316" i="28"/>
  <c r="X316" i="28"/>
  <c r="F316" i="28"/>
  <c r="N316" i="28"/>
  <c r="L316" i="28"/>
  <c r="O314" i="28"/>
  <c r="P314" i="28"/>
  <c r="Q314" i="28"/>
  <c r="R314" i="28"/>
  <c r="S314" i="28"/>
  <c r="T314" i="28"/>
  <c r="U314" i="28"/>
  <c r="V314" i="28"/>
  <c r="W314" i="28"/>
  <c r="X314" i="28"/>
  <c r="N314" i="28"/>
  <c r="L314" i="28"/>
  <c r="F314" i="28"/>
  <c r="O309" i="28"/>
  <c r="P309" i="28"/>
  <c r="Q309" i="28"/>
  <c r="R309" i="28"/>
  <c r="S309" i="28"/>
  <c r="T309" i="28"/>
  <c r="U309" i="28"/>
  <c r="V309" i="28"/>
  <c r="W309" i="28"/>
  <c r="X309" i="28"/>
  <c r="N309" i="28"/>
  <c r="L309" i="28"/>
  <c r="F309" i="28"/>
  <c r="O306" i="28"/>
  <c r="P306" i="28"/>
  <c r="Q306" i="28"/>
  <c r="R306" i="28"/>
  <c r="S306" i="28"/>
  <c r="T306" i="28"/>
  <c r="U306" i="28"/>
  <c r="V306" i="28"/>
  <c r="W306" i="28"/>
  <c r="X306" i="28"/>
  <c r="N306" i="28"/>
  <c r="F306" i="28"/>
  <c r="L306" i="28"/>
  <c r="X298" i="28"/>
  <c r="O298" i="28"/>
  <c r="P298" i="28"/>
  <c r="Q298" i="28"/>
  <c r="R298" i="28"/>
  <c r="S298" i="28"/>
  <c r="T298" i="28"/>
  <c r="U298" i="28"/>
  <c r="V298" i="28"/>
  <c r="W298" i="28"/>
  <c r="N298" i="28"/>
  <c r="F298" i="28"/>
  <c r="L298" i="28"/>
  <c r="O296" i="28"/>
  <c r="P296" i="28"/>
  <c r="Q296" i="28"/>
  <c r="R296" i="28"/>
  <c r="S296" i="28"/>
  <c r="T296" i="28"/>
  <c r="U296" i="28"/>
  <c r="V296" i="28"/>
  <c r="W296" i="28"/>
  <c r="X296" i="28"/>
  <c r="N296" i="28"/>
  <c r="F296" i="28"/>
  <c r="L296" i="28"/>
  <c r="O294" i="28"/>
  <c r="P294" i="28"/>
  <c r="Q294" i="28"/>
  <c r="R294" i="28"/>
  <c r="S294" i="28"/>
  <c r="T294" i="28"/>
  <c r="U294" i="28"/>
  <c r="V294" i="28"/>
  <c r="W294" i="28"/>
  <c r="X294" i="28"/>
  <c r="N294" i="28"/>
  <c r="F294" i="28"/>
  <c r="L294" i="28"/>
  <c r="O291" i="28"/>
  <c r="P291" i="28"/>
  <c r="Q291" i="28"/>
  <c r="R291" i="28"/>
  <c r="S291" i="28"/>
  <c r="T291" i="28"/>
  <c r="U291" i="28"/>
  <c r="V291" i="28"/>
  <c r="W291" i="28"/>
  <c r="X291" i="28"/>
  <c r="F291" i="28"/>
  <c r="O290" i="28"/>
  <c r="P290" i="28"/>
  <c r="Q290" i="28"/>
  <c r="R290" i="28"/>
  <c r="S290" i="28"/>
  <c r="T290" i="28"/>
  <c r="U290" i="28"/>
  <c r="V290" i="28"/>
  <c r="W290" i="28"/>
  <c r="X290" i="28"/>
  <c r="N290" i="28"/>
  <c r="F290" i="28"/>
  <c r="L290" i="28"/>
  <c r="O284" i="28"/>
  <c r="P284" i="28"/>
  <c r="Q284" i="28"/>
  <c r="R284" i="28"/>
  <c r="S284" i="28"/>
  <c r="T284" i="28"/>
  <c r="U284" i="28"/>
  <c r="V284" i="28"/>
  <c r="W284" i="28"/>
  <c r="X284" i="28"/>
  <c r="N284" i="28"/>
  <c r="F284" i="28"/>
  <c r="L284" i="28"/>
  <c r="O280" i="28"/>
  <c r="P280" i="28"/>
  <c r="Q280" i="28"/>
  <c r="R280" i="28"/>
  <c r="S280" i="28"/>
  <c r="T280" i="28"/>
  <c r="U280" i="28"/>
  <c r="V280" i="28"/>
  <c r="W280" i="28"/>
  <c r="X280" i="28"/>
  <c r="N280" i="28"/>
  <c r="F280" i="28"/>
  <c r="L280" i="28"/>
  <c r="O278" i="28"/>
  <c r="P278" i="28"/>
  <c r="Q278" i="28"/>
  <c r="R278" i="28"/>
  <c r="S278" i="28"/>
  <c r="T278" i="28"/>
  <c r="U278" i="28"/>
  <c r="V278" i="28"/>
  <c r="W278" i="28"/>
  <c r="X278" i="28"/>
  <c r="N278" i="28"/>
  <c r="F278" i="28"/>
  <c r="L278" i="28"/>
  <c r="O273" i="28"/>
  <c r="P273" i="28"/>
  <c r="Q273" i="28"/>
  <c r="R273" i="28"/>
  <c r="S273" i="28"/>
  <c r="T273" i="28"/>
  <c r="U273" i="28"/>
  <c r="V273" i="28"/>
  <c r="W273" i="28"/>
  <c r="X273" i="28"/>
  <c r="N273" i="28"/>
  <c r="F273" i="28"/>
  <c r="L273" i="28"/>
  <c r="O271" i="28"/>
  <c r="P271" i="28"/>
  <c r="Q271" i="28"/>
  <c r="R271" i="28"/>
  <c r="S271" i="28"/>
  <c r="T271" i="28"/>
  <c r="U271" i="28"/>
  <c r="V271" i="28"/>
  <c r="W271" i="28"/>
  <c r="X271" i="28"/>
  <c r="N271" i="28"/>
  <c r="F271" i="28"/>
  <c r="L271" i="28"/>
  <c r="L270" i="28"/>
  <c r="O268" i="28"/>
  <c r="P268" i="28"/>
  <c r="Q268" i="28"/>
  <c r="R268" i="28"/>
  <c r="S268" i="28"/>
  <c r="T268" i="28"/>
  <c r="U268" i="28"/>
  <c r="V268" i="28"/>
  <c r="W268" i="28"/>
  <c r="X268" i="28"/>
  <c r="N268" i="28"/>
  <c r="F268" i="28"/>
  <c r="L268" i="28"/>
  <c r="L264" i="28"/>
  <c r="O260" i="28"/>
  <c r="P260" i="28"/>
  <c r="Q260" i="28"/>
  <c r="R260" i="28"/>
  <c r="S260" i="28"/>
  <c r="T260" i="28"/>
  <c r="U260" i="28"/>
  <c r="V260" i="28"/>
  <c r="W260" i="28"/>
  <c r="X260" i="28"/>
  <c r="N260" i="28"/>
  <c r="F260" i="28"/>
  <c r="L260" i="28"/>
  <c r="O243" i="28"/>
  <c r="P243" i="28"/>
  <c r="Q243" i="28"/>
  <c r="R243" i="28"/>
  <c r="S243" i="28"/>
  <c r="T243" i="28"/>
  <c r="U243" i="28"/>
  <c r="V243" i="28"/>
  <c r="W243" i="28"/>
  <c r="X243" i="28"/>
  <c r="O246" i="28"/>
  <c r="P246" i="28"/>
  <c r="Q246" i="28"/>
  <c r="R246" i="28"/>
  <c r="S246" i="28"/>
  <c r="T246" i="28"/>
  <c r="U246" i="28"/>
  <c r="V246" i="28"/>
  <c r="W246" i="28"/>
  <c r="X246" i="28"/>
  <c r="O248" i="28"/>
  <c r="P248" i="28"/>
  <c r="Q248" i="28"/>
  <c r="R248" i="28"/>
  <c r="S248" i="28"/>
  <c r="T248" i="28"/>
  <c r="U248" i="28"/>
  <c r="V248" i="28"/>
  <c r="W248" i="28"/>
  <c r="X248" i="28"/>
  <c r="O249" i="28"/>
  <c r="P249" i="28"/>
  <c r="Q249" i="28"/>
  <c r="R249" i="28"/>
  <c r="S249" i="28"/>
  <c r="T249" i="28"/>
  <c r="U249" i="28"/>
  <c r="V249" i="28"/>
  <c r="W249" i="28"/>
  <c r="X249" i="28"/>
  <c r="F249" i="28"/>
  <c r="N249" i="28"/>
  <c r="L249" i="28"/>
  <c r="N248" i="28"/>
  <c r="F248" i="28"/>
  <c r="L248" i="28"/>
  <c r="N246" i="28"/>
  <c r="F246" i="28"/>
  <c r="L246" i="28"/>
  <c r="N243" i="28"/>
  <c r="F243" i="28"/>
  <c r="L243" i="28"/>
  <c r="O241" i="28"/>
  <c r="P241" i="28"/>
  <c r="Q241" i="28"/>
  <c r="R241" i="28"/>
  <c r="S241" i="28"/>
  <c r="T241" i="28"/>
  <c r="U241" i="28"/>
  <c r="V241" i="28"/>
  <c r="W241" i="28"/>
  <c r="X241" i="28"/>
  <c r="N241" i="28"/>
  <c r="F241" i="28"/>
  <c r="L241" i="28"/>
  <c r="L242" i="28"/>
  <c r="X129" i="4" l="1"/>
  <c r="V98" i="4"/>
  <c r="V139" i="4"/>
  <c r="W130" i="4"/>
  <c r="V36" i="4"/>
  <c r="V115" i="4"/>
  <c r="W129" i="4"/>
  <c r="X36" i="4"/>
  <c r="Y37" i="4"/>
  <c r="X130" i="4"/>
  <c r="V26" i="4"/>
  <c r="V129" i="4"/>
  <c r="Y129" i="4"/>
  <c r="X37" i="4"/>
  <c r="Y36" i="4"/>
  <c r="V130" i="4"/>
  <c r="V37" i="4"/>
  <c r="Y130" i="4"/>
  <c r="W37" i="4"/>
  <c r="W36" i="4"/>
  <c r="O235" i="28"/>
  <c r="P235" i="28"/>
  <c r="Q235" i="28"/>
  <c r="R235" i="28"/>
  <c r="S235" i="28"/>
  <c r="T235" i="28"/>
  <c r="U235" i="28"/>
  <c r="V235" i="28"/>
  <c r="W235" i="28"/>
  <c r="X235" i="28"/>
  <c r="N235" i="28"/>
  <c r="F235" i="28"/>
  <c r="L235" i="28"/>
  <c r="O229" i="28"/>
  <c r="P229" i="28"/>
  <c r="Q229" i="28"/>
  <c r="R229" i="28"/>
  <c r="S229" i="28"/>
  <c r="T229" i="28"/>
  <c r="U229" i="28"/>
  <c r="V229" i="28"/>
  <c r="W229" i="28"/>
  <c r="X229" i="28"/>
  <c r="O230" i="28"/>
  <c r="P230" i="28"/>
  <c r="Q230" i="28"/>
  <c r="R230" i="28"/>
  <c r="S230" i="28"/>
  <c r="T230" i="28"/>
  <c r="U230" i="28"/>
  <c r="V230" i="28"/>
  <c r="W230" i="28"/>
  <c r="X230" i="28"/>
  <c r="N230" i="28"/>
  <c r="F230" i="28"/>
  <c r="L230" i="28"/>
  <c r="L233" i="28"/>
  <c r="N229" i="28"/>
  <c r="F229" i="28"/>
  <c r="L229" i="28"/>
  <c r="L234" i="28"/>
  <c r="O227" i="28"/>
  <c r="P227" i="28"/>
  <c r="Q227" i="28"/>
  <c r="R227" i="28"/>
  <c r="S227" i="28"/>
  <c r="T227" i="28"/>
  <c r="U227" i="28"/>
  <c r="V227" i="28"/>
  <c r="W227" i="28"/>
  <c r="X227" i="28"/>
  <c r="N227" i="28"/>
  <c r="F227" i="28"/>
  <c r="L227" i="28"/>
  <c r="O224" i="28"/>
  <c r="P224" i="28"/>
  <c r="Q224" i="28"/>
  <c r="R224" i="28"/>
  <c r="S224" i="28"/>
  <c r="T224" i="28"/>
  <c r="U224" i="28"/>
  <c r="V224" i="28"/>
  <c r="W224" i="28"/>
  <c r="X224" i="28"/>
  <c r="N224" i="28"/>
  <c r="F224" i="28"/>
  <c r="L224" i="28"/>
  <c r="L236" i="28"/>
  <c r="O218" i="28"/>
  <c r="P218" i="28"/>
  <c r="Q218" i="28"/>
  <c r="R218" i="28"/>
  <c r="S218" i="28"/>
  <c r="T218" i="28"/>
  <c r="U218" i="28"/>
  <c r="V218" i="28"/>
  <c r="W218" i="28"/>
  <c r="X218" i="28"/>
  <c r="N218" i="28"/>
  <c r="F218" i="28"/>
  <c r="L218" i="28"/>
  <c r="O214" i="28"/>
  <c r="P214" i="28"/>
  <c r="Q214" i="28"/>
  <c r="R214" i="28"/>
  <c r="S214" i="28"/>
  <c r="T214" i="28"/>
  <c r="U214" i="28"/>
  <c r="V214" i="28"/>
  <c r="W214" i="28"/>
  <c r="X214" i="28"/>
  <c r="N214" i="28"/>
  <c r="F214" i="28"/>
  <c r="O209" i="28"/>
  <c r="P209" i="28"/>
  <c r="Q209" i="28"/>
  <c r="R209" i="28"/>
  <c r="S209" i="28"/>
  <c r="T209" i="28"/>
  <c r="U209" i="28"/>
  <c r="V209" i="28"/>
  <c r="W209" i="28"/>
  <c r="X209" i="28"/>
  <c r="N209" i="28"/>
  <c r="F209" i="28"/>
  <c r="L209" i="28"/>
  <c r="L231" i="28"/>
  <c r="O202" i="28"/>
  <c r="P202" i="28"/>
  <c r="Q202" i="28"/>
  <c r="R202" i="28"/>
  <c r="S202" i="28"/>
  <c r="T202" i="28"/>
  <c r="U202" i="28"/>
  <c r="V202" i="28"/>
  <c r="W202" i="28"/>
  <c r="X202" i="28"/>
  <c r="N202" i="28"/>
  <c r="F202" i="28"/>
  <c r="L202" i="28"/>
  <c r="O199" i="28"/>
  <c r="P199" i="28"/>
  <c r="Q199" i="28"/>
  <c r="R199" i="28"/>
  <c r="S199" i="28"/>
  <c r="T199" i="28"/>
  <c r="U199" i="28"/>
  <c r="V199" i="28"/>
  <c r="W199" i="28"/>
  <c r="X199" i="28"/>
  <c r="N199" i="28"/>
  <c r="F199" i="28"/>
  <c r="O197" i="28"/>
  <c r="P197" i="28"/>
  <c r="Q197" i="28"/>
  <c r="R197" i="28"/>
  <c r="S197" i="28"/>
  <c r="T197" i="28"/>
  <c r="U197" i="28"/>
  <c r="V197" i="28"/>
  <c r="W197" i="28"/>
  <c r="X197" i="28"/>
  <c r="N197" i="28"/>
  <c r="F197" i="28"/>
  <c r="L197" i="28"/>
  <c r="L173" i="28"/>
  <c r="O189" i="28"/>
  <c r="P189" i="28"/>
  <c r="Q189" i="28"/>
  <c r="R189" i="28"/>
  <c r="S189" i="28"/>
  <c r="T189" i="28"/>
  <c r="U189" i="28"/>
  <c r="V189" i="28"/>
  <c r="W189" i="28"/>
  <c r="X189" i="28"/>
  <c r="O185" i="28"/>
  <c r="P185" i="28"/>
  <c r="Q185" i="28"/>
  <c r="R185" i="28"/>
  <c r="S185" i="28"/>
  <c r="T185" i="28"/>
  <c r="U185" i="28"/>
  <c r="V185" i="28"/>
  <c r="W185" i="28"/>
  <c r="X185" i="28"/>
  <c r="N189" i="28"/>
  <c r="F189" i="28"/>
  <c r="F185" i="28"/>
  <c r="N185" i="28"/>
  <c r="O172" i="28"/>
  <c r="P172" i="28"/>
  <c r="Q172" i="28"/>
  <c r="R172" i="28"/>
  <c r="S172" i="28"/>
  <c r="T172" i="28"/>
  <c r="U172" i="28"/>
  <c r="V172" i="28"/>
  <c r="W172" i="28"/>
  <c r="X172" i="28"/>
  <c r="O173" i="28"/>
  <c r="P173" i="28"/>
  <c r="Q173" i="28"/>
  <c r="R173" i="28"/>
  <c r="S173" i="28"/>
  <c r="T173" i="28"/>
  <c r="U173" i="28"/>
  <c r="V173" i="28"/>
  <c r="W173" i="28"/>
  <c r="X173" i="28"/>
  <c r="N173" i="28"/>
  <c r="F173" i="28"/>
  <c r="L160" i="28"/>
  <c r="N172" i="28"/>
  <c r="F172" i="28"/>
  <c r="L172" i="28"/>
  <c r="L175" i="28"/>
  <c r="O169" i="28"/>
  <c r="P169" i="28"/>
  <c r="Q169" i="28"/>
  <c r="R169" i="28"/>
  <c r="S169" i="28"/>
  <c r="T169" i="28"/>
  <c r="U169" i="28"/>
  <c r="V169" i="28"/>
  <c r="W169" i="28"/>
  <c r="X169" i="28"/>
  <c r="N169" i="28"/>
  <c r="F169" i="28"/>
  <c r="L169" i="28"/>
  <c r="L184" i="28"/>
  <c r="O163" i="28"/>
  <c r="P163" i="28"/>
  <c r="Q163" i="28"/>
  <c r="R163" i="28"/>
  <c r="S163" i="28"/>
  <c r="T163" i="28"/>
  <c r="U163" i="28"/>
  <c r="V163" i="28"/>
  <c r="W163" i="28"/>
  <c r="X163" i="28"/>
  <c r="N163" i="28"/>
  <c r="F163" i="28"/>
  <c r="F160" i="28"/>
  <c r="L163" i="28"/>
  <c r="O162" i="28"/>
  <c r="P162" i="28"/>
  <c r="Q162" i="28"/>
  <c r="R162" i="28"/>
  <c r="S162" i="28"/>
  <c r="T162" i="28"/>
  <c r="U162" i="28"/>
  <c r="V162" i="28"/>
  <c r="W162" i="28"/>
  <c r="X162" i="28"/>
  <c r="N162" i="28"/>
  <c r="F162" i="28"/>
  <c r="L162" i="28"/>
  <c r="O160" i="28"/>
  <c r="P160" i="28"/>
  <c r="Q160" i="28"/>
  <c r="R160" i="28"/>
  <c r="S160" i="28"/>
  <c r="T160" i="28"/>
  <c r="U160" i="28"/>
  <c r="V160" i="28"/>
  <c r="W160" i="28"/>
  <c r="X160" i="28"/>
  <c r="N160" i="28"/>
  <c r="X159" i="28"/>
  <c r="O159" i="28"/>
  <c r="P159" i="28"/>
  <c r="Q159" i="28"/>
  <c r="R159" i="28"/>
  <c r="S159" i="28"/>
  <c r="T159" i="28"/>
  <c r="U159" i="28"/>
  <c r="V159" i="28"/>
  <c r="W159" i="28"/>
  <c r="N159" i="28"/>
  <c r="F159" i="28"/>
  <c r="J17" i="1" s="1"/>
  <c r="L159" i="28"/>
  <c r="L161" i="28" l="1"/>
  <c r="N161" i="28"/>
  <c r="O161" i="28"/>
  <c r="P161" i="28"/>
  <c r="Q161" i="28"/>
  <c r="R161" i="28"/>
  <c r="S161" i="28"/>
  <c r="T161" i="28"/>
  <c r="U161" i="28"/>
  <c r="V161" i="28"/>
  <c r="W161" i="28"/>
  <c r="X161" i="28"/>
  <c r="L164" i="28"/>
  <c r="N164" i="28"/>
  <c r="O164" i="28"/>
  <c r="P164" i="28"/>
  <c r="Q164" i="28"/>
  <c r="R164" i="28"/>
  <c r="S164" i="28"/>
  <c r="T164" i="28"/>
  <c r="U164" i="28"/>
  <c r="V164" i="28"/>
  <c r="W164" i="28"/>
  <c r="X164" i="28"/>
  <c r="L165" i="28"/>
  <c r="N165" i="28"/>
  <c r="O165" i="28"/>
  <c r="P165" i="28"/>
  <c r="Q165" i="28"/>
  <c r="R165" i="28"/>
  <c r="S165" i="28"/>
  <c r="T165" i="28"/>
  <c r="U165" i="28"/>
  <c r="V165" i="28"/>
  <c r="W165" i="28"/>
  <c r="X165" i="28"/>
  <c r="L166" i="28"/>
  <c r="N166" i="28"/>
  <c r="O166" i="28"/>
  <c r="P166" i="28"/>
  <c r="Q166" i="28"/>
  <c r="R166" i="28"/>
  <c r="S166" i="28"/>
  <c r="T166" i="28"/>
  <c r="U166" i="28"/>
  <c r="V166" i="28"/>
  <c r="W166" i="28"/>
  <c r="X166" i="28"/>
  <c r="L167" i="28"/>
  <c r="L168" i="28"/>
  <c r="N168" i="28"/>
  <c r="O168" i="28"/>
  <c r="P168" i="28"/>
  <c r="Q168" i="28"/>
  <c r="R168" i="28"/>
  <c r="S168" i="28"/>
  <c r="T168" i="28"/>
  <c r="U168" i="28"/>
  <c r="V168" i="28"/>
  <c r="W168" i="28"/>
  <c r="X168" i="28"/>
  <c r="L170" i="28"/>
  <c r="L171" i="28"/>
  <c r="N171" i="28"/>
  <c r="O171" i="28"/>
  <c r="P171" i="28"/>
  <c r="Q171" i="28"/>
  <c r="R171" i="28"/>
  <c r="S171" i="28"/>
  <c r="T171" i="28"/>
  <c r="U171" i="28"/>
  <c r="V171" i="28"/>
  <c r="W171" i="28"/>
  <c r="X171" i="28"/>
  <c r="L174" i="28"/>
  <c r="N174" i="28"/>
  <c r="O174" i="28"/>
  <c r="P174" i="28"/>
  <c r="Q174" i="28"/>
  <c r="R174" i="28"/>
  <c r="S174" i="28"/>
  <c r="T174" i="28"/>
  <c r="U174" i="28"/>
  <c r="V174" i="28"/>
  <c r="W174" i="28"/>
  <c r="X174" i="28"/>
  <c r="N175" i="28"/>
  <c r="O175" i="28"/>
  <c r="P175" i="28"/>
  <c r="Q175" i="28"/>
  <c r="R175" i="28"/>
  <c r="S175" i="28"/>
  <c r="T175" i="28"/>
  <c r="U175" i="28"/>
  <c r="V175" i="28"/>
  <c r="W175" i="28"/>
  <c r="X175" i="28"/>
  <c r="L176" i="28"/>
  <c r="L177" i="28"/>
  <c r="N177" i="28"/>
  <c r="O177" i="28"/>
  <c r="P177" i="28"/>
  <c r="Q177" i="28"/>
  <c r="R177" i="28"/>
  <c r="S177" i="28"/>
  <c r="T177" i="28"/>
  <c r="U177" i="28"/>
  <c r="V177" i="28"/>
  <c r="W177" i="28"/>
  <c r="X177" i="28"/>
  <c r="L178" i="28"/>
  <c r="N178" i="28"/>
  <c r="O178" i="28"/>
  <c r="P178" i="28"/>
  <c r="Q178" i="28"/>
  <c r="R178" i="28"/>
  <c r="S178" i="28"/>
  <c r="T178" i="28"/>
  <c r="U178" i="28"/>
  <c r="V178" i="28"/>
  <c r="W178" i="28"/>
  <c r="X178" i="28"/>
  <c r="L179" i="28"/>
  <c r="N179" i="28"/>
  <c r="O179" i="28"/>
  <c r="P179" i="28"/>
  <c r="Q179" i="28"/>
  <c r="R179" i="28"/>
  <c r="S179" i="28"/>
  <c r="T179" i="28"/>
  <c r="U179" i="28"/>
  <c r="V179" i="28"/>
  <c r="W179" i="28"/>
  <c r="X179" i="28"/>
  <c r="L180" i="28"/>
  <c r="N180" i="28"/>
  <c r="O180" i="28"/>
  <c r="P180" i="28"/>
  <c r="Q180" i="28"/>
  <c r="R180" i="28"/>
  <c r="S180" i="28"/>
  <c r="T180" i="28"/>
  <c r="U180" i="28"/>
  <c r="V180" i="28"/>
  <c r="W180" i="28"/>
  <c r="X180" i="28"/>
  <c r="L181" i="28"/>
  <c r="N181" i="28"/>
  <c r="O181" i="28"/>
  <c r="P181" i="28"/>
  <c r="Q181" i="28"/>
  <c r="R181" i="28"/>
  <c r="S181" i="28"/>
  <c r="T181" i="28"/>
  <c r="U181" i="28"/>
  <c r="V181" i="28"/>
  <c r="W181" i="28"/>
  <c r="X181" i="28"/>
  <c r="L182" i="28"/>
  <c r="N182" i="28"/>
  <c r="O182" i="28"/>
  <c r="P182" i="28"/>
  <c r="Q182" i="28"/>
  <c r="R182" i="28"/>
  <c r="S182" i="28"/>
  <c r="T182" i="28"/>
  <c r="U182" i="28"/>
  <c r="V182" i="28"/>
  <c r="W182" i="28"/>
  <c r="X182" i="28"/>
  <c r="L183" i="28"/>
  <c r="N183" i="28"/>
  <c r="O183" i="28"/>
  <c r="P183" i="28"/>
  <c r="Q183" i="28"/>
  <c r="R183" i="28"/>
  <c r="S183" i="28"/>
  <c r="T183" i="28"/>
  <c r="U183" i="28"/>
  <c r="V183" i="28"/>
  <c r="W183" i="28"/>
  <c r="X183" i="28"/>
  <c r="N184" i="28"/>
  <c r="O184" i="28"/>
  <c r="P184" i="28"/>
  <c r="Q184" i="28"/>
  <c r="R184" i="28"/>
  <c r="S184" i="28"/>
  <c r="T184" i="28"/>
  <c r="U184" i="28"/>
  <c r="V184" i="28"/>
  <c r="W184" i="28"/>
  <c r="X184" i="28"/>
  <c r="L186" i="28"/>
  <c r="N186" i="28"/>
  <c r="O186" i="28"/>
  <c r="P186" i="28"/>
  <c r="Q186" i="28"/>
  <c r="R186" i="28"/>
  <c r="S186" i="28"/>
  <c r="T186" i="28"/>
  <c r="U186" i="28"/>
  <c r="V186" i="28"/>
  <c r="W186" i="28"/>
  <c r="X186" i="28"/>
  <c r="L187" i="28"/>
  <c r="N187" i="28"/>
  <c r="O187" i="28"/>
  <c r="P187" i="28"/>
  <c r="Q187" i="28"/>
  <c r="R187" i="28"/>
  <c r="S187" i="28"/>
  <c r="T187" i="28"/>
  <c r="U187" i="28"/>
  <c r="V187" i="28"/>
  <c r="W187" i="28"/>
  <c r="X187" i="28"/>
  <c r="L188" i="28"/>
  <c r="L190" i="28"/>
  <c r="N190" i="28"/>
  <c r="O190" i="28"/>
  <c r="P190" i="28"/>
  <c r="Q190" i="28"/>
  <c r="R190" i="28"/>
  <c r="S190" i="28"/>
  <c r="T190" i="28"/>
  <c r="U190" i="28"/>
  <c r="V190" i="28"/>
  <c r="W190" i="28"/>
  <c r="X190" i="28"/>
  <c r="L191" i="28"/>
  <c r="L192" i="28"/>
  <c r="N192" i="28"/>
  <c r="O192" i="28"/>
  <c r="P192" i="28"/>
  <c r="Q192" i="28"/>
  <c r="R192" i="28"/>
  <c r="S192" i="28"/>
  <c r="T192" i="28"/>
  <c r="U192" i="28"/>
  <c r="V192" i="28"/>
  <c r="W192" i="28"/>
  <c r="X192" i="28"/>
  <c r="L193" i="28"/>
  <c r="N193" i="28"/>
  <c r="O193" i="28"/>
  <c r="P193" i="28"/>
  <c r="Q193" i="28"/>
  <c r="R193" i="28"/>
  <c r="S193" i="28"/>
  <c r="T193" i="28"/>
  <c r="U193" i="28"/>
  <c r="V193" i="28"/>
  <c r="W193" i="28"/>
  <c r="X193" i="28"/>
  <c r="F194" i="28"/>
  <c r="L194" i="28"/>
  <c r="L195" i="28"/>
  <c r="L196" i="28"/>
  <c r="L198" i="28"/>
  <c r="N198" i="28"/>
  <c r="O198" i="28"/>
  <c r="P198" i="28"/>
  <c r="Q198" i="28"/>
  <c r="R198" i="28"/>
  <c r="S198" i="28"/>
  <c r="T198" i="28"/>
  <c r="U198" i="28"/>
  <c r="V198" i="28"/>
  <c r="W198" i="28"/>
  <c r="X198" i="28"/>
  <c r="L200" i="28"/>
  <c r="N200" i="28"/>
  <c r="O200" i="28"/>
  <c r="P200" i="28"/>
  <c r="Q200" i="28"/>
  <c r="R200" i="28"/>
  <c r="S200" i="28"/>
  <c r="T200" i="28"/>
  <c r="U200" i="28"/>
  <c r="V200" i="28"/>
  <c r="W200" i="28"/>
  <c r="X200" i="28"/>
  <c r="L201" i="28"/>
  <c r="N201" i="28"/>
  <c r="O201" i="28"/>
  <c r="P201" i="28"/>
  <c r="Q201" i="28"/>
  <c r="R201" i="28"/>
  <c r="S201" i="28"/>
  <c r="T201" i="28"/>
  <c r="U201" i="28"/>
  <c r="V201" i="28"/>
  <c r="W201" i="28"/>
  <c r="X201" i="28"/>
  <c r="L203" i="28"/>
  <c r="N203" i="28"/>
  <c r="O203" i="28"/>
  <c r="P203" i="28"/>
  <c r="Q203" i="28"/>
  <c r="R203" i="28"/>
  <c r="S203" i="28"/>
  <c r="T203" i="28"/>
  <c r="U203" i="28"/>
  <c r="V203" i="28"/>
  <c r="W203" i="28"/>
  <c r="X203" i="28"/>
  <c r="L204" i="28"/>
  <c r="L205" i="28"/>
  <c r="N205" i="28"/>
  <c r="O205" i="28"/>
  <c r="P205" i="28"/>
  <c r="Q205" i="28"/>
  <c r="R205" i="28"/>
  <c r="S205" i="28"/>
  <c r="T205" i="28"/>
  <c r="U205" i="28"/>
  <c r="V205" i="28"/>
  <c r="W205" i="28"/>
  <c r="X205" i="28"/>
  <c r="L206" i="28"/>
  <c r="N206" i="28"/>
  <c r="O206" i="28"/>
  <c r="P206" i="28"/>
  <c r="Q206" i="28"/>
  <c r="R206" i="28"/>
  <c r="S206" i="28"/>
  <c r="T206" i="28"/>
  <c r="U206" i="28"/>
  <c r="V206" i="28"/>
  <c r="W206" i="28"/>
  <c r="X206" i="28"/>
  <c r="L207" i="28"/>
  <c r="N207" i="28"/>
  <c r="O207" i="28"/>
  <c r="P207" i="28"/>
  <c r="Q207" i="28"/>
  <c r="R207" i="28"/>
  <c r="S207" i="28"/>
  <c r="T207" i="28"/>
  <c r="U207" i="28"/>
  <c r="V207" i="28"/>
  <c r="W207" i="28"/>
  <c r="X207" i="28"/>
  <c r="L208" i="28"/>
  <c r="N208" i="28"/>
  <c r="O208" i="28"/>
  <c r="P208" i="28"/>
  <c r="Q208" i="28"/>
  <c r="R208" i="28"/>
  <c r="S208" i="28"/>
  <c r="T208" i="28"/>
  <c r="U208" i="28"/>
  <c r="V208" i="28"/>
  <c r="W208" i="28"/>
  <c r="X208" i="28"/>
  <c r="L210" i="28"/>
  <c r="N210" i="28"/>
  <c r="O210" i="28"/>
  <c r="P210" i="28"/>
  <c r="Q210" i="28"/>
  <c r="R210" i="28"/>
  <c r="S210" i="28"/>
  <c r="T210" i="28"/>
  <c r="U210" i="28"/>
  <c r="V210" i="28"/>
  <c r="W210" i="28"/>
  <c r="X210" i="28"/>
  <c r="L211" i="28"/>
  <c r="N211" i="28"/>
  <c r="O211" i="28"/>
  <c r="P211" i="28"/>
  <c r="Q211" i="28"/>
  <c r="R211" i="28"/>
  <c r="S211" i="28"/>
  <c r="T211" i="28"/>
  <c r="U211" i="28"/>
  <c r="V211" i="28"/>
  <c r="W211" i="28"/>
  <c r="X211" i="28"/>
  <c r="L212" i="28"/>
  <c r="L213" i="28"/>
  <c r="N213" i="28"/>
  <c r="O213" i="28"/>
  <c r="P213" i="28"/>
  <c r="Q213" i="28"/>
  <c r="R213" i="28"/>
  <c r="S213" i="28"/>
  <c r="T213" i="28"/>
  <c r="U213" i="28"/>
  <c r="V213" i="28"/>
  <c r="W213" i="28"/>
  <c r="X213" i="28"/>
  <c r="L215" i="28"/>
  <c r="L216" i="28"/>
  <c r="L217" i="28"/>
  <c r="L219" i="28"/>
  <c r="N219" i="28"/>
  <c r="O219" i="28"/>
  <c r="P219" i="28"/>
  <c r="Q219" i="28"/>
  <c r="R219" i="28"/>
  <c r="S219" i="28"/>
  <c r="T219" i="28"/>
  <c r="U219" i="28"/>
  <c r="V219" i="28"/>
  <c r="W219" i="28"/>
  <c r="X219" i="28"/>
  <c r="L220" i="28"/>
  <c r="N220" i="28"/>
  <c r="O220" i="28"/>
  <c r="P220" i="28"/>
  <c r="Q220" i="28"/>
  <c r="R220" i="28"/>
  <c r="S220" i="28"/>
  <c r="T220" i="28"/>
  <c r="U220" i="28"/>
  <c r="V220" i="28"/>
  <c r="W220" i="28"/>
  <c r="X220" i="28"/>
  <c r="L221" i="28"/>
  <c r="N221" i="28"/>
  <c r="O221" i="28"/>
  <c r="P221" i="28"/>
  <c r="Q221" i="28"/>
  <c r="R221" i="28"/>
  <c r="S221" i="28"/>
  <c r="T221" i="28"/>
  <c r="U221" i="28"/>
  <c r="V221" i="28"/>
  <c r="W221" i="28"/>
  <c r="X221" i="28"/>
  <c r="L222" i="28"/>
  <c r="N222" i="28"/>
  <c r="O222" i="28"/>
  <c r="P222" i="28"/>
  <c r="Q222" i="28"/>
  <c r="R222" i="28"/>
  <c r="S222" i="28"/>
  <c r="T222" i="28"/>
  <c r="U222" i="28"/>
  <c r="V222" i="28"/>
  <c r="W222" i="28"/>
  <c r="X222" i="28"/>
  <c r="L223" i="28"/>
  <c r="N223" i="28"/>
  <c r="O223" i="28"/>
  <c r="P223" i="28"/>
  <c r="Q223" i="28"/>
  <c r="R223" i="28"/>
  <c r="S223" i="28"/>
  <c r="T223" i="28"/>
  <c r="U223" i="28"/>
  <c r="V223" i="28"/>
  <c r="W223" i="28"/>
  <c r="X223" i="28"/>
  <c r="L225" i="28"/>
  <c r="N225" i="28"/>
  <c r="O225" i="28"/>
  <c r="P225" i="28"/>
  <c r="Q225" i="28"/>
  <c r="R225" i="28"/>
  <c r="S225" i="28"/>
  <c r="T225" i="28"/>
  <c r="U225" i="28"/>
  <c r="V225" i="28"/>
  <c r="W225" i="28"/>
  <c r="X225" i="28"/>
  <c r="L226" i="28"/>
  <c r="L228" i="28"/>
  <c r="N228" i="28"/>
  <c r="O228" i="28"/>
  <c r="P228" i="28"/>
  <c r="Q228" i="28"/>
  <c r="R228" i="28"/>
  <c r="S228" i="28"/>
  <c r="T228" i="28"/>
  <c r="U228" i="28"/>
  <c r="V228" i="28"/>
  <c r="W228" i="28"/>
  <c r="X228" i="28"/>
  <c r="N231" i="28"/>
  <c r="O231" i="28"/>
  <c r="P231" i="28"/>
  <c r="Q231" i="28"/>
  <c r="R231" i="28"/>
  <c r="S231" i="28"/>
  <c r="T231" i="28"/>
  <c r="U231" i="28"/>
  <c r="V231" i="28"/>
  <c r="W231" i="28"/>
  <c r="X231" i="28"/>
  <c r="L232" i="28"/>
  <c r="N234" i="28"/>
  <c r="O234" i="28"/>
  <c r="P234" i="28"/>
  <c r="Q234" i="28"/>
  <c r="R234" i="28"/>
  <c r="S234" i="28"/>
  <c r="T234" i="28"/>
  <c r="U234" i="28"/>
  <c r="V234" i="28"/>
  <c r="W234" i="28"/>
  <c r="X234" i="28"/>
  <c r="N236" i="28"/>
  <c r="O236" i="28"/>
  <c r="P236" i="28"/>
  <c r="Q236" i="28"/>
  <c r="R236" i="28"/>
  <c r="S236" i="28"/>
  <c r="T236" i="28"/>
  <c r="U236" i="28"/>
  <c r="V236" i="28"/>
  <c r="W236" i="28"/>
  <c r="X236" i="28"/>
  <c r="L237" i="28"/>
  <c r="N237" i="28"/>
  <c r="O237" i="28"/>
  <c r="P237" i="28"/>
  <c r="Q237" i="28"/>
  <c r="R237" i="28"/>
  <c r="S237" i="28"/>
  <c r="T237" i="28"/>
  <c r="U237" i="28"/>
  <c r="V237" i="28"/>
  <c r="W237" i="28"/>
  <c r="X237" i="28"/>
  <c r="L238" i="28"/>
  <c r="N238" i="28"/>
  <c r="O238" i="28"/>
  <c r="P238" i="28"/>
  <c r="Q238" i="28"/>
  <c r="R238" i="28"/>
  <c r="S238" i="28"/>
  <c r="T238" i="28"/>
  <c r="U238" i="28"/>
  <c r="V238" i="28"/>
  <c r="W238" i="28"/>
  <c r="X238" i="28"/>
  <c r="L239" i="28"/>
  <c r="L240" i="28"/>
  <c r="L244" i="28"/>
  <c r="N244" i="28"/>
  <c r="O244" i="28"/>
  <c r="P244" i="28"/>
  <c r="Q244" i="28"/>
  <c r="R244" i="28"/>
  <c r="S244" i="28"/>
  <c r="T244" i="28"/>
  <c r="U244" i="28"/>
  <c r="V244" i="28"/>
  <c r="W244" i="28"/>
  <c r="X244" i="28"/>
  <c r="L245" i="28"/>
  <c r="N245" i="28"/>
  <c r="O245" i="28"/>
  <c r="P245" i="28"/>
  <c r="Q245" i="28"/>
  <c r="R245" i="28"/>
  <c r="S245" i="28"/>
  <c r="T245" i="28"/>
  <c r="U245" i="28"/>
  <c r="V245" i="28"/>
  <c r="W245" i="28"/>
  <c r="X245" i="28"/>
  <c r="L247" i="28"/>
  <c r="N247" i="28"/>
  <c r="O247" i="28"/>
  <c r="P247" i="28"/>
  <c r="Q247" i="28"/>
  <c r="R247" i="28"/>
  <c r="S247" i="28"/>
  <c r="T247" i="28"/>
  <c r="U247" i="28"/>
  <c r="V247" i="28"/>
  <c r="W247" i="28"/>
  <c r="X247" i="28"/>
  <c r="L250" i="28"/>
  <c r="N250" i="28"/>
  <c r="O250" i="28"/>
  <c r="P250" i="28"/>
  <c r="Q250" i="28"/>
  <c r="R250" i="28"/>
  <c r="S250" i="28"/>
  <c r="T250" i="28"/>
  <c r="U250" i="28"/>
  <c r="V250" i="28"/>
  <c r="W250" i="28"/>
  <c r="X250" i="28"/>
  <c r="L251" i="28"/>
  <c r="N251" i="28"/>
  <c r="O251" i="28"/>
  <c r="P251" i="28"/>
  <c r="Q251" i="28"/>
  <c r="R251" i="28"/>
  <c r="S251" i="28"/>
  <c r="T251" i="28"/>
  <c r="U251" i="28"/>
  <c r="V251" i="28"/>
  <c r="W251" i="28"/>
  <c r="X251" i="28"/>
  <c r="L252" i="28"/>
  <c r="N252" i="28"/>
  <c r="O252" i="28"/>
  <c r="P252" i="28"/>
  <c r="Q252" i="28"/>
  <c r="R252" i="28"/>
  <c r="S252" i="28"/>
  <c r="T252" i="28"/>
  <c r="U252" i="28"/>
  <c r="V252" i="28"/>
  <c r="W252" i="28"/>
  <c r="X252" i="28"/>
  <c r="L253" i="28"/>
  <c r="L254" i="28"/>
  <c r="L255" i="28"/>
  <c r="L256" i="28"/>
  <c r="L257" i="28"/>
  <c r="N257" i="28"/>
  <c r="O257" i="28"/>
  <c r="P257" i="28"/>
  <c r="Q257" i="28"/>
  <c r="R257" i="28"/>
  <c r="S257" i="28"/>
  <c r="T257" i="28"/>
  <c r="U257" i="28"/>
  <c r="V257" i="28"/>
  <c r="W257" i="28"/>
  <c r="X257" i="28"/>
  <c r="F258" i="28"/>
  <c r="L258" i="28"/>
  <c r="L259" i="28"/>
  <c r="L261" i="28"/>
  <c r="N261" i="28"/>
  <c r="O261" i="28"/>
  <c r="P261" i="28"/>
  <c r="Q261" i="28"/>
  <c r="R261" i="28"/>
  <c r="S261" i="28"/>
  <c r="T261" i="28"/>
  <c r="U261" i="28"/>
  <c r="V261" i="28"/>
  <c r="W261" i="28"/>
  <c r="X261" i="28"/>
  <c r="L262" i="28"/>
  <c r="L263" i="28"/>
  <c r="L265" i="28"/>
  <c r="F266" i="28"/>
  <c r="L266" i="28"/>
  <c r="L267" i="28"/>
  <c r="F269" i="28"/>
  <c r="L269" i="28"/>
  <c r="N269" i="28"/>
  <c r="O269" i="28"/>
  <c r="P269" i="28"/>
  <c r="Q269" i="28"/>
  <c r="R269" i="28"/>
  <c r="S269" i="28"/>
  <c r="T269" i="28"/>
  <c r="U269" i="28"/>
  <c r="V269" i="28"/>
  <c r="W269" i="28"/>
  <c r="X269" i="28"/>
  <c r="L272" i="28"/>
  <c r="N272" i="28"/>
  <c r="O272" i="28"/>
  <c r="P272" i="28"/>
  <c r="Q272" i="28"/>
  <c r="R272" i="28"/>
  <c r="S272" i="28"/>
  <c r="T272" i="28"/>
  <c r="U272" i="28"/>
  <c r="V272" i="28"/>
  <c r="W272" i="28"/>
  <c r="X272" i="28"/>
  <c r="L274" i="28"/>
  <c r="L275" i="28"/>
  <c r="L276" i="28"/>
  <c r="N276" i="28"/>
  <c r="O276" i="28"/>
  <c r="P276" i="28"/>
  <c r="Q276" i="28"/>
  <c r="R276" i="28"/>
  <c r="S276" i="28"/>
  <c r="T276" i="28"/>
  <c r="U276" i="28"/>
  <c r="V276" i="28"/>
  <c r="W276" i="28"/>
  <c r="X276" i="28"/>
  <c r="L277" i="28"/>
  <c r="N277" i="28"/>
  <c r="O277" i="28"/>
  <c r="P277" i="28"/>
  <c r="Q277" i="28"/>
  <c r="R277" i="28"/>
  <c r="S277" i="28"/>
  <c r="T277" i="28"/>
  <c r="U277" i="28"/>
  <c r="V277" i="28"/>
  <c r="W277" i="28"/>
  <c r="X277" i="28"/>
  <c r="F279" i="28"/>
  <c r="L279" i="28"/>
  <c r="L281" i="28"/>
  <c r="L282" i="28"/>
  <c r="L283" i="28"/>
  <c r="N283" i="28"/>
  <c r="O283" i="28"/>
  <c r="P283" i="28"/>
  <c r="Q283" i="28"/>
  <c r="R283" i="28"/>
  <c r="S283" i="28"/>
  <c r="T283" i="28"/>
  <c r="U283" i="28"/>
  <c r="V283" i="28"/>
  <c r="W283" i="28"/>
  <c r="X283" i="28"/>
  <c r="L285" i="28"/>
  <c r="N285" i="28"/>
  <c r="O285" i="28"/>
  <c r="P285" i="28"/>
  <c r="Q285" i="28"/>
  <c r="R285" i="28"/>
  <c r="S285" i="28"/>
  <c r="T285" i="28"/>
  <c r="U285" i="28"/>
  <c r="V285" i="28"/>
  <c r="W285" i="28"/>
  <c r="X285" i="28"/>
  <c r="L286" i="28"/>
  <c r="L287" i="28"/>
  <c r="N287" i="28"/>
  <c r="O287" i="28"/>
  <c r="P287" i="28"/>
  <c r="Q287" i="28"/>
  <c r="R287" i="28"/>
  <c r="S287" i="28"/>
  <c r="T287" i="28"/>
  <c r="U287" i="28"/>
  <c r="V287" i="28"/>
  <c r="W287" i="28"/>
  <c r="X287" i="28"/>
  <c r="L288" i="28"/>
  <c r="L289" i="28"/>
  <c r="N289" i="28"/>
  <c r="O289" i="28"/>
  <c r="P289" i="28"/>
  <c r="Q289" i="28"/>
  <c r="R289" i="28"/>
  <c r="S289" i="28"/>
  <c r="T289" i="28"/>
  <c r="U289" i="28"/>
  <c r="V289" i="28"/>
  <c r="W289" i="28"/>
  <c r="X289" i="28"/>
  <c r="L292" i="28"/>
  <c r="N292" i="28"/>
  <c r="O292" i="28"/>
  <c r="P292" i="28"/>
  <c r="Q292" i="28"/>
  <c r="R292" i="28"/>
  <c r="S292" i="28"/>
  <c r="T292" i="28"/>
  <c r="U292" i="28"/>
  <c r="V292" i="28"/>
  <c r="W292" i="28"/>
  <c r="X292" i="28"/>
  <c r="L293" i="28"/>
  <c r="L295" i="28"/>
  <c r="F297" i="28"/>
  <c r="L297" i="28"/>
  <c r="L299" i="28"/>
  <c r="L300" i="28"/>
  <c r="N300" i="28"/>
  <c r="O300" i="28"/>
  <c r="P300" i="28"/>
  <c r="Q300" i="28"/>
  <c r="R300" i="28"/>
  <c r="S300" i="28"/>
  <c r="T300" i="28"/>
  <c r="U300" i="28"/>
  <c r="V300" i="28"/>
  <c r="W300" i="28"/>
  <c r="X300" i="28"/>
  <c r="L302" i="28"/>
  <c r="N302" i="28"/>
  <c r="O302" i="28"/>
  <c r="P302" i="28"/>
  <c r="Q302" i="28"/>
  <c r="R302" i="28"/>
  <c r="S302" i="28"/>
  <c r="T302" i="28"/>
  <c r="U302" i="28"/>
  <c r="V302" i="28"/>
  <c r="W302" i="28"/>
  <c r="X302" i="28"/>
  <c r="L303" i="28"/>
  <c r="N303" i="28"/>
  <c r="O303" i="28"/>
  <c r="P303" i="28"/>
  <c r="Q303" i="28"/>
  <c r="R303" i="28"/>
  <c r="S303" i="28"/>
  <c r="T303" i="28"/>
  <c r="U303" i="28"/>
  <c r="V303" i="28"/>
  <c r="W303" i="28"/>
  <c r="X303" i="28"/>
  <c r="L304" i="28"/>
  <c r="L305" i="28"/>
  <c r="N305" i="28"/>
  <c r="O305" i="28"/>
  <c r="P305" i="28"/>
  <c r="Q305" i="28"/>
  <c r="R305" i="28"/>
  <c r="S305" i="28"/>
  <c r="T305" i="28"/>
  <c r="U305" i="28"/>
  <c r="V305" i="28"/>
  <c r="W305" i="28"/>
  <c r="X305" i="28"/>
  <c r="L307" i="28"/>
  <c r="L308" i="28"/>
  <c r="L310" i="28"/>
  <c r="L311" i="28"/>
  <c r="L312" i="28"/>
  <c r="N312" i="28"/>
  <c r="O312" i="28"/>
  <c r="P312" i="28"/>
  <c r="Q312" i="28"/>
  <c r="R312" i="28"/>
  <c r="S312" i="28"/>
  <c r="T312" i="28"/>
  <c r="U312" i="28"/>
  <c r="V312" i="28"/>
  <c r="W312" i="28"/>
  <c r="X312" i="28"/>
  <c r="L313" i="28"/>
  <c r="L315" i="28"/>
  <c r="N315" i="28"/>
  <c r="O315" i="28"/>
  <c r="P315" i="28"/>
  <c r="Q315" i="28"/>
  <c r="R315" i="28"/>
  <c r="S315" i="28"/>
  <c r="T315" i="28"/>
  <c r="U315" i="28"/>
  <c r="V315" i="28"/>
  <c r="W315" i="28"/>
  <c r="X315" i="28"/>
  <c r="L317" i="28"/>
  <c r="L318" i="28"/>
  <c r="L319" i="28"/>
  <c r="N319" i="28"/>
  <c r="O319" i="28"/>
  <c r="P319" i="28"/>
  <c r="Q319" i="28"/>
  <c r="R319" i="28"/>
  <c r="S319" i="28"/>
  <c r="T319" i="28"/>
  <c r="U319" i="28"/>
  <c r="V319" i="28"/>
  <c r="W319" i="28"/>
  <c r="X319" i="28"/>
  <c r="L321" i="28"/>
  <c r="L322" i="28"/>
  <c r="N322" i="28"/>
  <c r="O322" i="28"/>
  <c r="P322" i="28"/>
  <c r="Q322" i="28"/>
  <c r="R322" i="28"/>
  <c r="S322" i="28"/>
  <c r="T322" i="28"/>
  <c r="U322" i="28"/>
  <c r="V322" i="28"/>
  <c r="W322" i="28"/>
  <c r="X322" i="28"/>
  <c r="L324" i="28"/>
  <c r="N324" i="28"/>
  <c r="O324" i="28"/>
  <c r="P324" i="28"/>
  <c r="Q324" i="28"/>
  <c r="R324" i="28"/>
  <c r="S324" i="28"/>
  <c r="T324" i="28"/>
  <c r="U324" i="28"/>
  <c r="V324" i="28"/>
  <c r="W324" i="28"/>
  <c r="X324" i="28"/>
  <c r="L325" i="28"/>
  <c r="L326" i="28"/>
  <c r="L327" i="28"/>
  <c r="L328" i="28"/>
  <c r="L330" i="28"/>
  <c r="N330" i="28"/>
  <c r="O330" i="28"/>
  <c r="P330" i="28"/>
  <c r="Q330" i="28"/>
  <c r="R330" i="28"/>
  <c r="S330" i="28"/>
  <c r="T330" i="28"/>
  <c r="U330" i="28"/>
  <c r="V330" i="28"/>
  <c r="W330" i="28"/>
  <c r="X330" i="28"/>
  <c r="L331" i="28"/>
  <c r="N331" i="28"/>
  <c r="O331" i="28"/>
  <c r="P331" i="28"/>
  <c r="Q331" i="28"/>
  <c r="R331" i="28"/>
  <c r="S331" i="28"/>
  <c r="T331" i="28"/>
  <c r="U331" i="28"/>
  <c r="V331" i="28"/>
  <c r="W331" i="28"/>
  <c r="X331" i="28"/>
  <c r="L332" i="28"/>
  <c r="L333" i="28"/>
  <c r="L334" i="28"/>
  <c r="N334" i="28"/>
  <c r="O334" i="28"/>
  <c r="P334" i="28"/>
  <c r="Q334" i="28"/>
  <c r="R334" i="28"/>
  <c r="S334" i="28"/>
  <c r="T334" i="28"/>
  <c r="U334" i="28"/>
  <c r="V334" i="28"/>
  <c r="W334" i="28"/>
  <c r="X334" i="28"/>
  <c r="L336" i="28"/>
  <c r="N336" i="28"/>
  <c r="O336" i="28"/>
  <c r="P336" i="28"/>
  <c r="Q336" i="28"/>
  <c r="R336" i="28"/>
  <c r="S336" i="28"/>
  <c r="T336" i="28"/>
  <c r="U336" i="28"/>
  <c r="V336" i="28"/>
  <c r="W336" i="28"/>
  <c r="X336" i="28"/>
  <c r="L337" i="28"/>
  <c r="N337" i="28"/>
  <c r="C37" i="1" s="1"/>
  <c r="O337" i="28"/>
  <c r="C38" i="1" s="1"/>
  <c r="P337" i="28"/>
  <c r="C39" i="1" s="1"/>
  <c r="Q337" i="28"/>
  <c r="C47" i="1" s="1"/>
  <c r="R337" i="28"/>
  <c r="C44" i="1" s="1"/>
  <c r="S337" i="28"/>
  <c r="C46" i="1" s="1"/>
  <c r="T337" i="28"/>
  <c r="C45" i="1" s="1"/>
  <c r="U337" i="28"/>
  <c r="C40" i="1" s="1"/>
  <c r="V337" i="28"/>
  <c r="C42" i="1" s="1"/>
  <c r="W337" i="28"/>
  <c r="C41" i="1" s="1"/>
  <c r="X337" i="28"/>
  <c r="C48" i="1" s="1"/>
  <c r="L340" i="28"/>
  <c r="N340" i="28"/>
  <c r="O340" i="28"/>
  <c r="P340" i="28"/>
  <c r="Q340" i="28"/>
  <c r="R340" i="28"/>
  <c r="S340" i="28"/>
  <c r="T340" i="28"/>
  <c r="U340" i="28"/>
  <c r="V340" i="28"/>
  <c r="W340" i="28"/>
  <c r="X340" i="28"/>
  <c r="L343" i="28"/>
  <c r="N343" i="28"/>
  <c r="O343" i="28"/>
  <c r="P343" i="28"/>
  <c r="Q343" i="28"/>
  <c r="R343" i="28"/>
  <c r="S343" i="28"/>
  <c r="T343" i="28"/>
  <c r="U343" i="28"/>
  <c r="V343" i="28"/>
  <c r="W343" i="28"/>
  <c r="X343" i="28"/>
  <c r="L344" i="28"/>
  <c r="L345" i="28"/>
  <c r="N345" i="28"/>
  <c r="O345" i="28"/>
  <c r="P345" i="28"/>
  <c r="Q345" i="28"/>
  <c r="R345" i="28"/>
  <c r="S345" i="28"/>
  <c r="T345" i="28"/>
  <c r="U345" i="28"/>
  <c r="V345" i="28"/>
  <c r="W345" i="28"/>
  <c r="X345" i="28"/>
  <c r="L346" i="28"/>
  <c r="L347" i="28"/>
  <c r="N347" i="28"/>
  <c r="O347" i="28"/>
  <c r="P347" i="28"/>
  <c r="Q347" i="28"/>
  <c r="R347" i="28"/>
  <c r="S347" i="28"/>
  <c r="T347" i="28"/>
  <c r="U347" i="28"/>
  <c r="V347" i="28"/>
  <c r="W347" i="28"/>
  <c r="X347" i="28"/>
  <c r="L348" i="28"/>
  <c r="N348" i="28"/>
  <c r="O348" i="28"/>
  <c r="P348" i="28"/>
  <c r="Q348" i="28"/>
  <c r="R348" i="28"/>
  <c r="S348" i="28"/>
  <c r="T348" i="28"/>
  <c r="U348" i="28"/>
  <c r="V348" i="28"/>
  <c r="W348" i="28"/>
  <c r="X348" i="28"/>
  <c r="L349" i="28"/>
  <c r="L351" i="28"/>
  <c r="N351" i="28"/>
  <c r="L352" i="28"/>
  <c r="L353" i="28"/>
  <c r="N353" i="28"/>
  <c r="O353" i="28"/>
  <c r="P353" i="28"/>
  <c r="Q353" i="28"/>
  <c r="R353" i="28"/>
  <c r="S353" i="28"/>
  <c r="T353" i="28"/>
  <c r="U353" i="28"/>
  <c r="V353" i="28"/>
  <c r="W353" i="28"/>
  <c r="X353" i="28"/>
  <c r="L355" i="28"/>
  <c r="L356" i="28"/>
  <c r="L357" i="28"/>
  <c r="L358" i="28"/>
  <c r="L359" i="28"/>
  <c r="N359" i="28"/>
  <c r="O359" i="28"/>
  <c r="P359" i="28"/>
  <c r="Q359" i="28"/>
  <c r="R359" i="28"/>
  <c r="S359" i="28"/>
  <c r="T359" i="28"/>
  <c r="U359" i="28"/>
  <c r="V359" i="28"/>
  <c r="W359" i="28"/>
  <c r="X359" i="28"/>
  <c r="L360" i="28"/>
  <c r="N360" i="28"/>
  <c r="O360" i="28"/>
  <c r="P360" i="28"/>
  <c r="Q360" i="28"/>
  <c r="R360" i="28"/>
  <c r="S360" i="28"/>
  <c r="T360" i="28"/>
  <c r="U360" i="28"/>
  <c r="V360" i="28"/>
  <c r="W360" i="28"/>
  <c r="X360" i="28"/>
  <c r="L361" i="28"/>
  <c r="L362" i="28"/>
  <c r="L363" i="28"/>
  <c r="N363" i="28"/>
  <c r="O363" i="28"/>
  <c r="P363" i="28"/>
  <c r="Q363" i="28"/>
  <c r="R363" i="28"/>
  <c r="S363" i="28"/>
  <c r="T363" i="28"/>
  <c r="U363" i="28"/>
  <c r="V363" i="28"/>
  <c r="W363" i="28"/>
  <c r="X363" i="28"/>
  <c r="L365" i="28"/>
  <c r="N365" i="28"/>
  <c r="O365" i="28"/>
  <c r="P365" i="28"/>
  <c r="Q365" i="28"/>
  <c r="R365" i="28"/>
  <c r="S365" i="28"/>
  <c r="T365" i="28"/>
  <c r="U365" i="28"/>
  <c r="V365" i="28"/>
  <c r="W365" i="28"/>
  <c r="X365" i="28"/>
  <c r="L366" i="28"/>
  <c r="L367" i="28"/>
  <c r="L369" i="28"/>
  <c r="N369" i="28"/>
  <c r="O369" i="28"/>
  <c r="P369" i="28"/>
  <c r="Q369" i="28"/>
  <c r="R369" i="28"/>
  <c r="S369" i="28"/>
  <c r="T369" i="28"/>
  <c r="U369" i="28"/>
  <c r="V369" i="28"/>
  <c r="W369" i="28"/>
  <c r="X369" i="28"/>
  <c r="L370" i="28"/>
  <c r="N370" i="28"/>
  <c r="O370" i="28"/>
  <c r="P370" i="28"/>
  <c r="Q370" i="28"/>
  <c r="R370" i="28"/>
  <c r="S370" i="28"/>
  <c r="T370" i="28"/>
  <c r="U370" i="28"/>
  <c r="V370" i="28"/>
  <c r="W370" i="28"/>
  <c r="X370" i="28"/>
  <c r="L371" i="28"/>
  <c r="N371" i="28"/>
  <c r="O371" i="28"/>
  <c r="P371" i="28"/>
  <c r="Q371" i="28"/>
  <c r="R371" i="28"/>
  <c r="S371" i="28"/>
  <c r="T371" i="28"/>
  <c r="U371" i="28"/>
  <c r="V371" i="28"/>
  <c r="W371" i="28"/>
  <c r="X371" i="28"/>
  <c r="L372" i="28"/>
  <c r="L373" i="28"/>
  <c r="L374" i="28"/>
  <c r="N374" i="28"/>
  <c r="O374" i="28"/>
  <c r="P374" i="28"/>
  <c r="Q374" i="28"/>
  <c r="R374" i="28"/>
  <c r="S374" i="28"/>
  <c r="T374" i="28"/>
  <c r="U374" i="28"/>
  <c r="V374" i="28"/>
  <c r="W374" i="28"/>
  <c r="X374" i="28"/>
  <c r="L377" i="28"/>
  <c r="N377" i="28"/>
  <c r="O377" i="28"/>
  <c r="P377" i="28"/>
  <c r="Q377" i="28"/>
  <c r="R377" i="28"/>
  <c r="S377" i="28"/>
  <c r="T377" i="28"/>
  <c r="U377" i="28"/>
  <c r="V377" i="28"/>
  <c r="W377" i="28"/>
  <c r="X377" i="28"/>
  <c r="F378" i="28"/>
  <c r="L378" i="28"/>
  <c r="L379" i="28"/>
  <c r="L380" i="28"/>
  <c r="L381" i="28"/>
  <c r="L382" i="28"/>
  <c r="N382" i="28"/>
  <c r="O382" i="28"/>
  <c r="P382" i="28"/>
  <c r="Q382" i="28"/>
  <c r="R382" i="28"/>
  <c r="S382" i="28"/>
  <c r="T382" i="28"/>
  <c r="U382" i="28"/>
  <c r="V382" i="28"/>
  <c r="W382" i="28"/>
  <c r="X382" i="28"/>
  <c r="F383" i="28"/>
  <c r="L383" i="28"/>
  <c r="L384" i="28"/>
  <c r="N384" i="28"/>
  <c r="O384" i="28"/>
  <c r="P384" i="28"/>
  <c r="Q384" i="28"/>
  <c r="R384" i="28"/>
  <c r="S384" i="28"/>
  <c r="T384" i="28"/>
  <c r="U384" i="28"/>
  <c r="V384" i="28"/>
  <c r="W384" i="28"/>
  <c r="X384" i="28"/>
  <c r="L385" i="28"/>
  <c r="N385" i="28"/>
  <c r="O385" i="28"/>
  <c r="P385" i="28"/>
  <c r="Q385" i="28"/>
  <c r="R385" i="28"/>
  <c r="S385" i="28"/>
  <c r="T385" i="28"/>
  <c r="U385" i="28"/>
  <c r="V385" i="28"/>
  <c r="W385" i="28"/>
  <c r="X385" i="28"/>
  <c r="L386" i="28"/>
  <c r="L389" i="28"/>
  <c r="L390" i="28"/>
  <c r="C48" i="4" l="1"/>
  <c r="C47" i="4"/>
  <c r="C57" i="4"/>
  <c r="C50" i="4"/>
  <c r="C49" i="4"/>
  <c r="C54" i="4"/>
  <c r="C55" i="4"/>
  <c r="C53" i="4"/>
  <c r="C46" i="4"/>
  <c r="D42" i="1"/>
  <c r="C51" i="4" l="1"/>
  <c r="D43" i="1"/>
  <c r="C52" i="4" l="1"/>
  <c r="E49" i="1"/>
  <c r="O36" i="28"/>
  <c r="N34" i="28"/>
  <c r="O34" i="28" l="1"/>
  <c r="N35" i="28"/>
  <c r="N36" i="28"/>
  <c r="O32" i="28"/>
  <c r="P32" i="28" s="1"/>
  <c r="O33" i="28"/>
  <c r="O35" i="28"/>
  <c r="N33" i="28"/>
  <c r="M36" i="28" l="1"/>
  <c r="M35" i="28"/>
  <c r="M34" i="28"/>
  <c r="M33" i="28"/>
  <c r="P36" i="28" l="1"/>
  <c r="U6" i="4" s="1"/>
  <c r="P33" i="28"/>
  <c r="P34" i="28"/>
  <c r="U8" i="4" s="1"/>
  <c r="V107" i="4" s="1"/>
  <c r="U5" i="4"/>
  <c r="P35" i="28"/>
  <c r="V138" i="4" l="1"/>
  <c r="V28" i="4"/>
  <c r="V25" i="4"/>
  <c r="V88" i="4"/>
  <c r="V39" i="4"/>
  <c r="V41" i="4" s="1"/>
  <c r="Y39" i="4"/>
  <c r="Y41" i="4" s="1"/>
  <c r="X39" i="4"/>
  <c r="X41" i="4" s="1"/>
  <c r="W39" i="4"/>
  <c r="W41" i="4" s="1"/>
  <c r="X107" i="4"/>
  <c r="X148" i="4"/>
  <c r="W124" i="4"/>
  <c r="W107" i="4"/>
  <c r="Y107" i="4"/>
  <c r="Y148" i="4"/>
  <c r="V124" i="4"/>
  <c r="V148" i="4"/>
  <c r="X124" i="4"/>
  <c r="Y124" i="4"/>
  <c r="W148" i="4"/>
  <c r="W132" i="4"/>
  <c r="Y132" i="4"/>
  <c r="X132" i="4"/>
  <c r="V132" i="4"/>
  <c r="V97" i="4"/>
  <c r="V114" i="4"/>
  <c r="V66" i="4"/>
  <c r="P38" i="28"/>
  <c r="U7" i="4" s="1"/>
  <c r="V105" i="4" s="1"/>
  <c r="U16" i="4" l="1"/>
  <c r="U18" i="4" s="1"/>
  <c r="W147" i="4"/>
  <c r="Y40" i="4"/>
  <c r="W40" i="4"/>
  <c r="V40" i="4"/>
  <c r="X40" i="4"/>
  <c r="X146" i="4"/>
  <c r="X147" i="4"/>
  <c r="W146" i="4"/>
  <c r="V146" i="4"/>
  <c r="Y146" i="4"/>
  <c r="V147" i="4"/>
  <c r="Y147" i="4"/>
  <c r="Y122" i="4"/>
  <c r="X123" i="4"/>
  <c r="X122" i="4"/>
  <c r="V123" i="4"/>
  <c r="W122" i="4"/>
  <c r="W123" i="4"/>
  <c r="Y123" i="4"/>
  <c r="V122" i="4"/>
  <c r="X106" i="4"/>
  <c r="W106" i="4"/>
  <c r="V106" i="4"/>
  <c r="W105" i="4"/>
  <c r="X105" i="4"/>
  <c r="Y106" i="4"/>
  <c r="Y105" i="4"/>
  <c r="V109" i="4" l="1"/>
  <c r="Y109" i="4"/>
  <c r="V133" i="4"/>
  <c r="W150" i="4"/>
  <c r="Y150" i="4"/>
  <c r="V150" i="4"/>
  <c r="W109" i="4"/>
  <c r="W133" i="4"/>
  <c r="X150" i="4"/>
  <c r="X133" i="4"/>
  <c r="X109" i="4"/>
  <c r="Y133" i="4"/>
  <c r="C127" i="2" l="1"/>
  <c r="C105" i="2" l="1"/>
  <c r="C86" i="2"/>
  <c r="B91" i="7" l="1"/>
  <c r="C56" i="4" l="1"/>
  <c r="T64" i="4"/>
  <c r="T89" i="4" s="1"/>
  <c r="V89" i="4" s="1"/>
  <c r="T65" i="4"/>
  <c r="V65" i="4" s="1"/>
  <c r="L63" i="18"/>
  <c r="C44" i="18" s="1"/>
  <c r="L74" i="18"/>
  <c r="D44" i="18" s="1"/>
  <c r="L75" i="18"/>
  <c r="D45" i="18" s="1"/>
  <c r="L76" i="18"/>
  <c r="D46" i="18" s="1"/>
  <c r="L77" i="18"/>
  <c r="D47" i="18" s="1"/>
  <c r="L79" i="18"/>
  <c r="D49" i="18" s="1"/>
  <c r="L63" i="7"/>
  <c r="C44" i="7" s="1"/>
  <c r="L74" i="7"/>
  <c r="D44" i="7" s="1"/>
  <c r="L75" i="7"/>
  <c r="D45" i="7" s="1"/>
  <c r="L76" i="7"/>
  <c r="D46" i="7" s="1"/>
  <c r="L77" i="7"/>
  <c r="D47" i="7" s="1"/>
  <c r="L79" i="7"/>
  <c r="D49" i="7" s="1"/>
  <c r="L63" i="17"/>
  <c r="C44" i="17" s="1"/>
  <c r="L74" i="17"/>
  <c r="D44" i="17" s="1"/>
  <c r="L75" i="17"/>
  <c r="D45" i="17" s="1"/>
  <c r="L76" i="17"/>
  <c r="D46" i="17" s="1"/>
  <c r="L77" i="17"/>
  <c r="D47" i="17" s="1"/>
  <c r="L79" i="17"/>
  <c r="D49" i="17" s="1"/>
  <c r="L74" i="15"/>
  <c r="D44" i="15" s="1"/>
  <c r="L75" i="15"/>
  <c r="D45" i="15" s="1"/>
  <c r="L76" i="15"/>
  <c r="D46" i="15" s="1"/>
  <c r="L77" i="15"/>
  <c r="D47" i="15" s="1"/>
  <c r="L79" i="15"/>
  <c r="D49" i="15" s="1"/>
  <c r="L63" i="15"/>
  <c r="C44" i="15" s="1"/>
  <c r="B3" i="19"/>
  <c r="B20" i="19" s="1"/>
  <c r="C3" i="19"/>
  <c r="C20" i="19" s="1"/>
  <c r="D3" i="19"/>
  <c r="D20" i="19" s="1"/>
  <c r="E3" i="19"/>
  <c r="E20" i="19" s="1"/>
  <c r="B4" i="19"/>
  <c r="C4" i="19"/>
  <c r="D4" i="19"/>
  <c r="E4" i="19"/>
  <c r="A5" i="19"/>
  <c r="A6" i="19"/>
  <c r="A7" i="19"/>
  <c r="A8" i="19"/>
  <c r="A9" i="19"/>
  <c r="A10" i="19"/>
  <c r="A11" i="19"/>
  <c r="A13" i="19"/>
  <c r="A14" i="19"/>
  <c r="A15" i="19"/>
  <c r="F2" i="13"/>
  <c r="F31" i="13" s="1"/>
  <c r="E2" i="13"/>
  <c r="E31" i="13" s="1"/>
  <c r="D2" i="13"/>
  <c r="D31" i="13" s="1"/>
  <c r="C2" i="13"/>
  <c r="C31" i="13" s="1"/>
  <c r="M11" i="18"/>
  <c r="R11" i="18"/>
  <c r="M12" i="18"/>
  <c r="R12" i="18"/>
  <c r="M13" i="18"/>
  <c r="R13" i="18"/>
  <c r="M14" i="18"/>
  <c r="R14" i="18"/>
  <c r="M15" i="18"/>
  <c r="R15" i="18"/>
  <c r="M16" i="18"/>
  <c r="R16" i="18"/>
  <c r="M17" i="18"/>
  <c r="R17" i="18"/>
  <c r="R19" i="18"/>
  <c r="R20" i="18"/>
  <c r="AD12" i="4"/>
  <c r="B63" i="15" s="1"/>
  <c r="B34" i="15" s="1"/>
  <c r="AD13" i="4"/>
  <c r="B64" i="18" s="1"/>
  <c r="B35" i="18" s="1"/>
  <c r="AD14" i="4"/>
  <c r="B65" i="18" s="1"/>
  <c r="B36" i="18" s="1"/>
  <c r="AD15" i="4"/>
  <c r="B66" i="18" s="1"/>
  <c r="B37" i="18" s="1"/>
  <c r="AD16" i="4"/>
  <c r="B67" i="18" s="1"/>
  <c r="B38" i="18" s="1"/>
  <c r="AD17" i="4"/>
  <c r="B68" i="17" s="1"/>
  <c r="B39" i="17" s="1"/>
  <c r="AD18" i="4"/>
  <c r="B69" i="17" s="1"/>
  <c r="B40" i="17" s="1"/>
  <c r="AD20" i="4"/>
  <c r="B72" i="18" s="1"/>
  <c r="AD21" i="4"/>
  <c r="B73" i="18" s="1"/>
  <c r="AD22" i="4"/>
  <c r="AD23" i="4"/>
  <c r="B75" i="18" s="1"/>
  <c r="AD24" i="4"/>
  <c r="B76" i="15" s="1"/>
  <c r="AD25" i="4"/>
  <c r="B77" i="17" s="1"/>
  <c r="AD26" i="4"/>
  <c r="B78" i="18" s="1"/>
  <c r="D90" i="18"/>
  <c r="B91" i="18"/>
  <c r="B92" i="18"/>
  <c r="B93" i="18"/>
  <c r="B94" i="18"/>
  <c r="B95" i="18"/>
  <c r="B96" i="18"/>
  <c r="B97" i="18"/>
  <c r="B99" i="18"/>
  <c r="B100" i="18"/>
  <c r="B101" i="18"/>
  <c r="M11" i="17"/>
  <c r="R11" i="17"/>
  <c r="M12" i="17"/>
  <c r="R12" i="17"/>
  <c r="M13" i="17"/>
  <c r="R13" i="17"/>
  <c r="M14" i="17"/>
  <c r="R14" i="17"/>
  <c r="M15" i="17"/>
  <c r="R15" i="17"/>
  <c r="M16" i="17"/>
  <c r="R16" i="17"/>
  <c r="M17" i="17"/>
  <c r="R17" i="17"/>
  <c r="R19" i="17"/>
  <c r="R20" i="17"/>
  <c r="D90" i="17"/>
  <c r="B91" i="17"/>
  <c r="B92" i="17"/>
  <c r="B93" i="17"/>
  <c r="B94" i="17"/>
  <c r="B95" i="17"/>
  <c r="B96" i="17"/>
  <c r="B97" i="17"/>
  <c r="B99" i="17"/>
  <c r="B100" i="17"/>
  <c r="B101" i="17"/>
  <c r="M11" i="15"/>
  <c r="R11" i="15"/>
  <c r="M12" i="15"/>
  <c r="R12" i="15"/>
  <c r="M13" i="15"/>
  <c r="R13" i="15"/>
  <c r="M14" i="15"/>
  <c r="R14" i="15"/>
  <c r="M15" i="15"/>
  <c r="R15" i="15"/>
  <c r="M16" i="15"/>
  <c r="R16" i="15"/>
  <c r="M17" i="15"/>
  <c r="R17" i="15"/>
  <c r="R19" i="15"/>
  <c r="R20" i="15"/>
  <c r="D90" i="15"/>
  <c r="B91" i="15"/>
  <c r="B92" i="15"/>
  <c r="B93" i="15"/>
  <c r="B94" i="15"/>
  <c r="B95" i="15"/>
  <c r="B96" i="15"/>
  <c r="B97" i="15"/>
  <c r="B99" i="15"/>
  <c r="B100" i="15"/>
  <c r="B101" i="15"/>
  <c r="R20" i="7"/>
  <c r="R19" i="7"/>
  <c r="R17" i="7"/>
  <c r="R16" i="7"/>
  <c r="R15" i="7"/>
  <c r="R14" i="7"/>
  <c r="R13" i="7"/>
  <c r="R12" i="7"/>
  <c r="R11" i="7"/>
  <c r="M17" i="7"/>
  <c r="M16" i="7"/>
  <c r="M15" i="7"/>
  <c r="M14" i="7"/>
  <c r="M13" i="7"/>
  <c r="M12" i="7"/>
  <c r="M11" i="7"/>
  <c r="I71" i="2"/>
  <c r="H71" i="2"/>
  <c r="G71" i="2"/>
  <c r="E71" i="2"/>
  <c r="I52" i="5"/>
  <c r="H52" i="5"/>
  <c r="G52" i="5"/>
  <c r="E52" i="5"/>
  <c r="AH63" i="4"/>
  <c r="AG63" i="4"/>
  <c r="AF63" i="4"/>
  <c r="AD50" i="4"/>
  <c r="AE63" i="4"/>
  <c r="D90" i="7"/>
  <c r="B92" i="7"/>
  <c r="B93" i="7"/>
  <c r="B94" i="7"/>
  <c r="B95" i="7"/>
  <c r="B100" i="7"/>
  <c r="B96" i="7"/>
  <c r="B97" i="7"/>
  <c r="B99" i="7"/>
  <c r="B101" i="7"/>
  <c r="AD34" i="4"/>
  <c r="AD33" i="4"/>
  <c r="AD32" i="4"/>
  <c r="AD31" i="4"/>
  <c r="AD30" i="4"/>
  <c r="AD29" i="4"/>
  <c r="AD28" i="4"/>
  <c r="C49" i="1"/>
  <c r="B73" i="7" l="1"/>
  <c r="B67" i="7"/>
  <c r="B38" i="7" s="1"/>
  <c r="B53" i="7"/>
  <c r="B53" i="17"/>
  <c r="B53" i="18"/>
  <c r="B53" i="15"/>
  <c r="B68" i="7"/>
  <c r="B39" i="7" s="1"/>
  <c r="AD61" i="4"/>
  <c r="AD72" i="4"/>
  <c r="B63" i="7"/>
  <c r="B34" i="7" s="1"/>
  <c r="B69" i="7"/>
  <c r="B40" i="7" s="1"/>
  <c r="B69" i="15"/>
  <c r="B40" i="15" s="1"/>
  <c r="B67" i="15"/>
  <c r="B38" i="15" s="1"/>
  <c r="B68" i="15"/>
  <c r="B39" i="15" s="1"/>
  <c r="E44" i="7"/>
  <c r="B67" i="17"/>
  <c r="B38" i="17" s="1"/>
  <c r="B66" i="15"/>
  <c r="B37" i="15" s="1"/>
  <c r="B66" i="7"/>
  <c r="B37" i="7" s="1"/>
  <c r="B78" i="7"/>
  <c r="B78" i="17"/>
  <c r="B66" i="17"/>
  <c r="B37" i="17" s="1"/>
  <c r="B76" i="7"/>
  <c r="B77" i="7"/>
  <c r="B65" i="7"/>
  <c r="B36" i="7" s="1"/>
  <c r="B65" i="17"/>
  <c r="B36" i="17" s="1"/>
  <c r="B63" i="17"/>
  <c r="B34" i="17" s="1"/>
  <c r="B65" i="15"/>
  <c r="B36" i="15" s="1"/>
  <c r="B72" i="15"/>
  <c r="B72" i="7"/>
  <c r="B64" i="15"/>
  <c r="B35" i="15" s="1"/>
  <c r="B73" i="15"/>
  <c r="B64" i="17"/>
  <c r="B35" i="17" s="1"/>
  <c r="B75" i="15"/>
  <c r="E44" i="17"/>
  <c r="B75" i="7"/>
  <c r="B75" i="17"/>
  <c r="B73" i="17"/>
  <c r="B72" i="17"/>
  <c r="B64" i="7"/>
  <c r="B35" i="7" s="1"/>
  <c r="B63" i="18"/>
  <c r="B34" i="18" s="1"/>
  <c r="B76" i="18"/>
  <c r="B69" i="18"/>
  <c r="B40" i="18" s="1"/>
  <c r="B68" i="18"/>
  <c r="B39" i="18" s="1"/>
  <c r="B76" i="17"/>
  <c r="C67" i="4"/>
  <c r="C66" i="4"/>
  <c r="B78" i="15"/>
  <c r="C62" i="4"/>
  <c r="K60" i="1" s="1"/>
  <c r="C61" i="4"/>
  <c r="K59" i="1" s="1"/>
  <c r="E44" i="18"/>
  <c r="C58" i="4"/>
  <c r="V64" i="4"/>
  <c r="D44" i="4"/>
  <c r="E44" i="15"/>
  <c r="B74" i="18"/>
  <c r="B74" i="17"/>
  <c r="B74" i="15"/>
  <c r="B74" i="7"/>
  <c r="B77" i="18"/>
  <c r="B77" i="15"/>
  <c r="D46" i="4" l="1"/>
  <c r="F72" i="4" s="1"/>
  <c r="F83" i="4" s="1"/>
  <c r="K58" i="1"/>
  <c r="D49" i="4"/>
  <c r="C63" i="4"/>
  <c r="K61" i="1" s="1"/>
  <c r="D51" i="4"/>
  <c r="D56" i="4"/>
  <c r="D55" i="4"/>
  <c r="D52" i="4"/>
  <c r="D47" i="4"/>
  <c r="D48" i="4"/>
  <c r="D57" i="4"/>
  <c r="D50" i="4"/>
  <c r="D54" i="4"/>
  <c r="D53" i="4"/>
  <c r="G91" i="4" l="1"/>
  <c r="D91" i="4"/>
  <c r="G72" i="4"/>
  <c r="E72" i="4"/>
  <c r="N7" i="4" s="1"/>
  <c r="O7" i="4"/>
  <c r="D72" i="4"/>
  <c r="M7" i="4" s="1"/>
  <c r="E75" i="4"/>
  <c r="N10" i="4" s="1"/>
  <c r="E90" i="4"/>
  <c r="D90" i="4"/>
  <c r="G90" i="4"/>
  <c r="F90" i="4"/>
  <c r="E76" i="4"/>
  <c r="N11" i="4" s="1"/>
  <c r="D76" i="4"/>
  <c r="E73" i="4"/>
  <c r="G73" i="4"/>
  <c r="F73" i="4"/>
  <c r="O8" i="4" s="1"/>
  <c r="D73" i="4"/>
  <c r="M8" i="4" s="1"/>
  <c r="D74" i="4"/>
  <c r="M9" i="4" s="1"/>
  <c r="D78" i="4"/>
  <c r="M13" i="4" s="1"/>
  <c r="E91" i="4"/>
  <c r="E93" i="4"/>
  <c r="G93" i="4"/>
  <c r="D93" i="4"/>
  <c r="F93" i="4"/>
  <c r="F92" i="4"/>
  <c r="D92" i="4"/>
  <c r="G92" i="4"/>
  <c r="E92" i="4"/>
  <c r="D58" i="4"/>
  <c r="F91" i="4"/>
  <c r="F94" i="4"/>
  <c r="D94" i="4"/>
  <c r="G94" i="4"/>
  <c r="E94" i="4"/>
  <c r="E77" i="4" l="1"/>
  <c r="N12" i="4" s="1"/>
  <c r="D77" i="4"/>
  <c r="M12" i="4" s="1"/>
  <c r="C12" i="7" s="1"/>
  <c r="N16" i="7" s="1"/>
  <c r="E78" i="4"/>
  <c r="N13" i="4" s="1"/>
  <c r="D75" i="4"/>
  <c r="D86" i="4" s="1"/>
  <c r="P8" i="4"/>
  <c r="P22" i="4" s="1"/>
  <c r="G84" i="4"/>
  <c r="P7" i="4"/>
  <c r="P18" i="4" s="1"/>
  <c r="G83" i="4"/>
  <c r="AF16" i="4"/>
  <c r="AF23" i="4"/>
  <c r="AF15" i="4"/>
  <c r="C9" i="7"/>
  <c r="N13" i="7" s="1"/>
  <c r="AE14" i="4"/>
  <c r="C13" i="7"/>
  <c r="N17" i="7" s="1"/>
  <c r="AE18" i="4"/>
  <c r="O19" i="4"/>
  <c r="O18" i="4"/>
  <c r="O21" i="4"/>
  <c r="O22" i="4"/>
  <c r="C8" i="7"/>
  <c r="N12" i="7" s="1"/>
  <c r="M22" i="4"/>
  <c r="M21" i="4"/>
  <c r="C7" i="7"/>
  <c r="N11" i="7" s="1"/>
  <c r="M18" i="4"/>
  <c r="M19" i="4"/>
  <c r="N19" i="4"/>
  <c r="N18" i="4"/>
  <c r="D83" i="4"/>
  <c r="AK5" i="4"/>
  <c r="B6" i="19" s="1"/>
  <c r="AM5" i="4"/>
  <c r="D6" i="19" s="1"/>
  <c r="AL5" i="4"/>
  <c r="C6" i="19" s="1"/>
  <c r="AN5" i="4"/>
  <c r="E6" i="19" s="1"/>
  <c r="E8" i="13"/>
  <c r="E86" i="4"/>
  <c r="C10" i="15"/>
  <c r="N14" i="15" s="1"/>
  <c r="D10" i="13"/>
  <c r="C8" i="17"/>
  <c r="N12" i="17" s="1"/>
  <c r="E87" i="4"/>
  <c r="D89" i="4"/>
  <c r="E83" i="4"/>
  <c r="AN6" i="4"/>
  <c r="E7" i="19" s="1"/>
  <c r="D85" i="4"/>
  <c r="AE22" i="4"/>
  <c r="C9" i="13"/>
  <c r="M11" i="4"/>
  <c r="D87" i="4"/>
  <c r="C8" i="13"/>
  <c r="C13" i="13"/>
  <c r="AE26" i="4"/>
  <c r="D84" i="4"/>
  <c r="F84" i="4"/>
  <c r="D11" i="13"/>
  <c r="AF24" i="4"/>
  <c r="C11" i="15"/>
  <c r="N15" i="15" s="1"/>
  <c r="N8" i="4"/>
  <c r="E84" i="4"/>
  <c r="AM6" i="4"/>
  <c r="AL6" i="4"/>
  <c r="C7" i="19" s="1"/>
  <c r="AK6" i="4"/>
  <c r="C7" i="17"/>
  <c r="N11" i="17" s="1"/>
  <c r="E7" i="13"/>
  <c r="C7" i="15"/>
  <c r="N11" i="15" s="1"/>
  <c r="D7" i="13"/>
  <c r="C7" i="13"/>
  <c r="D88" i="4" l="1"/>
  <c r="E88" i="4"/>
  <c r="AE25" i="4"/>
  <c r="E89" i="4"/>
  <c r="AE17" i="4"/>
  <c r="AE33" i="4" s="1"/>
  <c r="C12" i="13"/>
  <c r="M10" i="4"/>
  <c r="C10" i="7" s="1"/>
  <c r="N14" i="7" s="1"/>
  <c r="D79" i="4"/>
  <c r="D80" i="4" s="1"/>
  <c r="E46" i="5" s="1"/>
  <c r="AK4" i="4"/>
  <c r="B5" i="19" s="1"/>
  <c r="G76" i="4"/>
  <c r="F76" i="4"/>
  <c r="P19" i="4"/>
  <c r="G78" i="4"/>
  <c r="F78" i="4"/>
  <c r="G75" i="4"/>
  <c r="F75" i="4"/>
  <c r="G77" i="4"/>
  <c r="F77" i="4"/>
  <c r="F8" i="13"/>
  <c r="C7" i="18"/>
  <c r="N11" i="18" s="1"/>
  <c r="P21" i="4"/>
  <c r="C8" i="18"/>
  <c r="N12" i="18" s="1"/>
  <c r="F7" i="13"/>
  <c r="AF31" i="4"/>
  <c r="AE13" i="4"/>
  <c r="C64" i="7" s="1"/>
  <c r="C35" i="7" s="1"/>
  <c r="AE20" i="4"/>
  <c r="C72" i="7" s="1"/>
  <c r="D34" i="7" s="1"/>
  <c r="AE12" i="4"/>
  <c r="C76" i="15"/>
  <c r="D38" i="15" s="1"/>
  <c r="C75" i="15"/>
  <c r="D37" i="15" s="1"/>
  <c r="C78" i="7"/>
  <c r="D40" i="7" s="1"/>
  <c r="C74" i="7"/>
  <c r="D36" i="7" s="1"/>
  <c r="C77" i="7"/>
  <c r="D39" i="7" s="1"/>
  <c r="AG13" i="4"/>
  <c r="C64" i="17" s="1"/>
  <c r="C35" i="17" s="1"/>
  <c r="AG21" i="4"/>
  <c r="C73" i="17" s="1"/>
  <c r="D35" i="17" s="1"/>
  <c r="AF12" i="4"/>
  <c r="AF20" i="4"/>
  <c r="C72" i="15" s="1"/>
  <c r="D34" i="15" s="1"/>
  <c r="AG20" i="4"/>
  <c r="AG12" i="4"/>
  <c r="C63" i="17" s="1"/>
  <c r="AE21" i="4"/>
  <c r="C73" i="7" s="1"/>
  <c r="D35" i="7" s="1"/>
  <c r="C11" i="7"/>
  <c r="N15" i="7" s="1"/>
  <c r="AE16" i="4"/>
  <c r="AF17" i="4"/>
  <c r="AF18" i="4"/>
  <c r="D92" i="7"/>
  <c r="AE15" i="4"/>
  <c r="C66" i="7" s="1"/>
  <c r="C37" i="7" s="1"/>
  <c r="D92" i="17"/>
  <c r="N22" i="4"/>
  <c r="N21" i="4"/>
  <c r="D92" i="15"/>
  <c r="D92" i="18"/>
  <c r="D93" i="17"/>
  <c r="D7" i="19"/>
  <c r="D93" i="7"/>
  <c r="B7" i="19"/>
  <c r="C66" i="15"/>
  <c r="C37" i="15" s="1"/>
  <c r="D93" i="18"/>
  <c r="D96" i="4"/>
  <c r="C8" i="15"/>
  <c r="N12" i="15" s="1"/>
  <c r="D8" i="13"/>
  <c r="AE30" i="4"/>
  <c r="C65" i="7"/>
  <c r="C36" i="7" s="1"/>
  <c r="D93" i="15"/>
  <c r="AF32" i="4"/>
  <c r="C67" i="15"/>
  <c r="C38" i="15" s="1"/>
  <c r="C11" i="13"/>
  <c r="AE24" i="4"/>
  <c r="AF25" i="4"/>
  <c r="D12" i="13"/>
  <c r="C12" i="15"/>
  <c r="N16" i="15" s="1"/>
  <c r="C69" i="7"/>
  <c r="C40" i="7" s="1"/>
  <c r="AE34" i="4"/>
  <c r="C13" i="15"/>
  <c r="N17" i="15" s="1"/>
  <c r="AF26" i="4"/>
  <c r="D13" i="13"/>
  <c r="AE23" i="4" l="1"/>
  <c r="C68" i="7"/>
  <c r="C39" i="7" s="1"/>
  <c r="M14" i="4"/>
  <c r="C5" i="13" s="1"/>
  <c r="C10" i="13"/>
  <c r="AH20" i="4"/>
  <c r="C72" i="18" s="1"/>
  <c r="D34" i="18" s="1"/>
  <c r="AH12" i="4"/>
  <c r="C63" i="18" s="1"/>
  <c r="C34" i="18" s="1"/>
  <c r="D95" i="4"/>
  <c r="M31" i="4" s="1"/>
  <c r="O12" i="4"/>
  <c r="F88" i="4"/>
  <c r="P12" i="4"/>
  <c r="G88" i="4"/>
  <c r="O10" i="4"/>
  <c r="F86" i="4"/>
  <c r="G86" i="4"/>
  <c r="P10" i="4"/>
  <c r="O13" i="4"/>
  <c r="F89" i="4"/>
  <c r="P13" i="4"/>
  <c r="G89" i="4"/>
  <c r="O11" i="4"/>
  <c r="F87" i="4"/>
  <c r="P11" i="4"/>
  <c r="G87" i="4"/>
  <c r="AH21" i="4"/>
  <c r="C73" i="18" s="1"/>
  <c r="D35" i="18" s="1"/>
  <c r="AH13" i="4"/>
  <c r="C64" i="18" s="1"/>
  <c r="C35" i="18" s="1"/>
  <c r="E37" i="15"/>
  <c r="E38" i="15"/>
  <c r="E40" i="7"/>
  <c r="E39" i="7"/>
  <c r="E36" i="7"/>
  <c r="C76" i="7"/>
  <c r="D38" i="7" s="1"/>
  <c r="C63" i="15"/>
  <c r="C34" i="15" s="1"/>
  <c r="C77" i="15"/>
  <c r="D39" i="15" s="1"/>
  <c r="C75" i="7"/>
  <c r="D37" i="7" s="1"/>
  <c r="C78" i="15"/>
  <c r="D40" i="15" s="1"/>
  <c r="AE28" i="4"/>
  <c r="AG28" i="4"/>
  <c r="C72" i="17"/>
  <c r="D34" i="17" s="1"/>
  <c r="AE29" i="4"/>
  <c r="AF13" i="4"/>
  <c r="C64" i="15" s="1"/>
  <c r="C35" i="15" s="1"/>
  <c r="AF21" i="4"/>
  <c r="C73" i="15" s="1"/>
  <c r="D35" i="15" s="1"/>
  <c r="C63" i="7"/>
  <c r="C34" i="7" s="1"/>
  <c r="E35" i="7"/>
  <c r="E35" i="17"/>
  <c r="AG29" i="4"/>
  <c r="AF28" i="4"/>
  <c r="C5" i="7"/>
  <c r="N9" i="7" s="1"/>
  <c r="AE31" i="4"/>
  <c r="C67" i="7"/>
  <c r="C38" i="7" s="1"/>
  <c r="AE32" i="4"/>
  <c r="C69" i="15"/>
  <c r="C40" i="15" s="1"/>
  <c r="AF34" i="4"/>
  <c r="C68" i="15"/>
  <c r="C39" i="15" s="1"/>
  <c r="AF33" i="4"/>
  <c r="C34" i="17"/>
  <c r="AH28" i="4" l="1"/>
  <c r="C13" i="18"/>
  <c r="N17" i="18" s="1"/>
  <c r="AH18" i="4"/>
  <c r="AH26" i="4"/>
  <c r="F13" i="13"/>
  <c r="AG18" i="4"/>
  <c r="E13" i="13"/>
  <c r="AG26" i="4"/>
  <c r="C13" i="17"/>
  <c r="N17" i="17" s="1"/>
  <c r="F10" i="13"/>
  <c r="AH23" i="4"/>
  <c r="AH15" i="4"/>
  <c r="C10" i="18"/>
  <c r="N14" i="18" s="1"/>
  <c r="C11" i="18"/>
  <c r="N15" i="18" s="1"/>
  <c r="AH16" i="4"/>
  <c r="F11" i="13"/>
  <c r="AH24" i="4"/>
  <c r="E11" i="13"/>
  <c r="AG24" i="4"/>
  <c r="AG16" i="4"/>
  <c r="C11" i="17"/>
  <c r="N15" i="17" s="1"/>
  <c r="C10" i="17"/>
  <c r="N14" i="17" s="1"/>
  <c r="E10" i="13"/>
  <c r="AG23" i="4"/>
  <c r="AG15" i="4"/>
  <c r="E74" i="4"/>
  <c r="F12" i="13"/>
  <c r="C12" i="18"/>
  <c r="N16" i="18" s="1"/>
  <c r="AH25" i="4"/>
  <c r="AH17" i="4"/>
  <c r="C12" i="17"/>
  <c r="N16" i="17" s="1"/>
  <c r="AG17" i="4"/>
  <c r="E12" i="13"/>
  <c r="AG25" i="4"/>
  <c r="E35" i="18"/>
  <c r="AH29" i="4"/>
  <c r="E39" i="15"/>
  <c r="H55" i="7"/>
  <c r="C33" i="13" s="1"/>
  <c r="E38" i="7"/>
  <c r="E37" i="7"/>
  <c r="E40" i="15"/>
  <c r="H54" i="7"/>
  <c r="AF29" i="4"/>
  <c r="E35" i="15"/>
  <c r="O11" i="7"/>
  <c r="O17" i="7"/>
  <c r="O15" i="7"/>
  <c r="O16" i="7"/>
  <c r="O14" i="7"/>
  <c r="O13" i="7"/>
  <c r="O12" i="7"/>
  <c r="AE36" i="4"/>
  <c r="D81" i="7"/>
  <c r="E34" i="7"/>
  <c r="E34" i="15"/>
  <c r="E34" i="18"/>
  <c r="E34" i="17"/>
  <c r="G74" i="4" l="1"/>
  <c r="F74" i="4"/>
  <c r="C68" i="17"/>
  <c r="C39" i="17" s="1"/>
  <c r="AG33" i="4"/>
  <c r="C66" i="17"/>
  <c r="C37" i="17" s="1"/>
  <c r="AG31" i="4"/>
  <c r="C67" i="18"/>
  <c r="C38" i="18" s="1"/>
  <c r="AH32" i="4"/>
  <c r="C78" i="17"/>
  <c r="D40" i="17" s="1"/>
  <c r="C75" i="17"/>
  <c r="D37" i="17" s="1"/>
  <c r="AG34" i="4"/>
  <c r="C69" i="17"/>
  <c r="C40" i="17" s="1"/>
  <c r="AH33" i="4"/>
  <c r="C68" i="18"/>
  <c r="C39" i="18" s="1"/>
  <c r="C77" i="18"/>
  <c r="D39" i="18" s="1"/>
  <c r="C67" i="17"/>
  <c r="C38" i="17" s="1"/>
  <c r="AG32" i="4"/>
  <c r="C66" i="18"/>
  <c r="C37" i="18" s="1"/>
  <c r="AH31" i="4"/>
  <c r="C78" i="18"/>
  <c r="D40" i="18" s="1"/>
  <c r="C76" i="17"/>
  <c r="D38" i="17" s="1"/>
  <c r="E38" i="17" s="1"/>
  <c r="C75" i="18"/>
  <c r="D37" i="18" s="1"/>
  <c r="C77" i="17"/>
  <c r="D39" i="17" s="1"/>
  <c r="E39" i="17" s="1"/>
  <c r="E85" i="4"/>
  <c r="E96" i="4" s="1"/>
  <c r="N9" i="4"/>
  <c r="E79" i="4"/>
  <c r="E80" i="4" s="1"/>
  <c r="G46" i="5" s="1"/>
  <c r="AL4" i="4"/>
  <c r="C5" i="19" s="1"/>
  <c r="C69" i="18"/>
  <c r="C40" i="18" s="1"/>
  <c r="AH34" i="4"/>
  <c r="C76" i="18"/>
  <c r="D38" i="18" s="1"/>
  <c r="C32" i="13"/>
  <c r="H56" i="7"/>
  <c r="E39" i="18" l="1"/>
  <c r="E37" i="17"/>
  <c r="E37" i="18"/>
  <c r="AF14" i="4"/>
  <c r="AF22" i="4"/>
  <c r="N14" i="4"/>
  <c r="D9" i="13"/>
  <c r="C9" i="15"/>
  <c r="N13" i="15" s="1"/>
  <c r="E38" i="18"/>
  <c r="F85" i="4"/>
  <c r="F96" i="4" s="1"/>
  <c r="F79" i="4"/>
  <c r="O9" i="4"/>
  <c r="AM4" i="4"/>
  <c r="D5" i="19" s="1"/>
  <c r="E40" i="18"/>
  <c r="E40" i="17"/>
  <c r="G85" i="4"/>
  <c r="G96" i="4" s="1"/>
  <c r="P9" i="4"/>
  <c r="AN4" i="4"/>
  <c r="E5" i="19" s="1"/>
  <c r="G79" i="4"/>
  <c r="G80" i="4" s="1"/>
  <c r="I46" i="5" s="1"/>
  <c r="C5" i="15" l="1"/>
  <c r="N9" i="15" s="1"/>
  <c r="D5" i="13"/>
  <c r="C74" i="15"/>
  <c r="D36" i="15" s="1"/>
  <c r="H55" i="15" s="1"/>
  <c r="D33" i="13" s="1"/>
  <c r="C65" i="15"/>
  <c r="AF30" i="4"/>
  <c r="AF36" i="4" s="1"/>
  <c r="AH22" i="4"/>
  <c r="F9" i="13"/>
  <c r="AH14" i="4"/>
  <c r="C9" i="18"/>
  <c r="N13" i="18" s="1"/>
  <c r="P14" i="4"/>
  <c r="AG22" i="4"/>
  <c r="E9" i="13"/>
  <c r="C9" i="17"/>
  <c r="N13" i="17" s="1"/>
  <c r="O14" i="4"/>
  <c r="AG14" i="4"/>
  <c r="F80" i="4"/>
  <c r="H46" i="5" s="1"/>
  <c r="F95" i="4"/>
  <c r="F101" i="4" s="1"/>
  <c r="M35" i="4"/>
  <c r="AK11" i="4" s="1"/>
  <c r="M29" i="4"/>
  <c r="C18" i="7" s="1"/>
  <c r="M34" i="4"/>
  <c r="M33" i="4"/>
  <c r="M32" i="4"/>
  <c r="M30" i="4"/>
  <c r="M28" i="4"/>
  <c r="C17" i="7" s="1"/>
  <c r="M37" i="4"/>
  <c r="M36" i="4"/>
  <c r="D103" i="4"/>
  <c r="D91" i="7"/>
  <c r="D112" i="4"/>
  <c r="D101" i="4"/>
  <c r="D107" i="4"/>
  <c r="D102" i="4"/>
  <c r="D108" i="4"/>
  <c r="D111" i="4"/>
  <c r="D105" i="4"/>
  <c r="D110" i="4"/>
  <c r="D109" i="4"/>
  <c r="D104" i="4"/>
  <c r="D106" i="4"/>
  <c r="D98" i="7" l="1"/>
  <c r="B12" i="19"/>
  <c r="C36" i="15"/>
  <c r="H54" i="15" s="1"/>
  <c r="D81" i="15"/>
  <c r="C74" i="18"/>
  <c r="D36" i="18" s="1"/>
  <c r="H55" i="18" s="1"/>
  <c r="F33" i="13" s="1"/>
  <c r="AG30" i="4"/>
  <c r="AG36" i="4" s="1"/>
  <c r="C65" i="17"/>
  <c r="C5" i="17"/>
  <c r="N9" i="17" s="1"/>
  <c r="E5" i="13"/>
  <c r="C74" i="17"/>
  <c r="D36" i="17" s="1"/>
  <c r="H55" i="17" s="1"/>
  <c r="E33" i="13" s="1"/>
  <c r="C5" i="18"/>
  <c r="N9" i="18" s="1"/>
  <c r="O13" i="18" s="1"/>
  <c r="F5" i="13"/>
  <c r="O11" i="15"/>
  <c r="O12" i="15"/>
  <c r="O15" i="15"/>
  <c r="O14" i="15"/>
  <c r="O17" i="15"/>
  <c r="O16" i="15"/>
  <c r="O13" i="15"/>
  <c r="C65" i="18"/>
  <c r="AH30" i="4"/>
  <c r="AH36" i="4" s="1"/>
  <c r="AE49" i="4"/>
  <c r="AE47" i="4"/>
  <c r="C24" i="7"/>
  <c r="Q18" i="7" s="1"/>
  <c r="AE48" i="4"/>
  <c r="L70" i="7" s="1"/>
  <c r="C51" i="7" s="1"/>
  <c r="AE59" i="4"/>
  <c r="C24" i="13"/>
  <c r="C25" i="7"/>
  <c r="Q19" i="7" s="1"/>
  <c r="AE60" i="4"/>
  <c r="C23" i="7"/>
  <c r="Q17" i="7" s="1"/>
  <c r="AE58" i="4"/>
  <c r="C22" i="7"/>
  <c r="Q16" i="7" s="1"/>
  <c r="C26" i="7"/>
  <c r="Q20" i="7" s="1"/>
  <c r="C21" i="7"/>
  <c r="Q15" i="7" s="1"/>
  <c r="C20" i="7"/>
  <c r="Q14" i="7" s="1"/>
  <c r="C19" i="7"/>
  <c r="Q13" i="7" s="1"/>
  <c r="D124" i="4"/>
  <c r="D123" i="4"/>
  <c r="E53" i="5" s="1"/>
  <c r="C18" i="13"/>
  <c r="Q12" i="7"/>
  <c r="C17" i="13"/>
  <c r="Q11" i="7"/>
  <c r="M38" i="4"/>
  <c r="C15" i="7" s="1"/>
  <c r="AK12" i="4"/>
  <c r="B13" i="19" s="1"/>
  <c r="C25" i="13"/>
  <c r="D113" i="4"/>
  <c r="D118" i="4"/>
  <c r="E54" i="5" s="1"/>
  <c r="D119" i="4"/>
  <c r="C19" i="13"/>
  <c r="C22" i="13"/>
  <c r="AK9" i="4"/>
  <c r="B10" i="19" s="1"/>
  <c r="C21" i="13"/>
  <c r="AK8" i="4"/>
  <c r="B9" i="19" s="1"/>
  <c r="C20" i="13"/>
  <c r="AK7" i="4"/>
  <c r="B8" i="19" s="1"/>
  <c r="C26" i="13"/>
  <c r="AK13" i="4"/>
  <c r="B14" i="19" s="1"/>
  <c r="C23" i="13"/>
  <c r="AK10" i="4"/>
  <c r="B11" i="19" s="1"/>
  <c r="V77" i="4" l="1"/>
  <c r="E55" i="5"/>
  <c r="E36" i="15"/>
  <c r="C36" i="18"/>
  <c r="H54" i="18" s="1"/>
  <c r="D81" i="18"/>
  <c r="C36" i="17"/>
  <c r="H54" i="17" s="1"/>
  <c r="D81" i="17"/>
  <c r="H56" i="15"/>
  <c r="D32" i="13"/>
  <c r="O11" i="17"/>
  <c r="O12" i="17"/>
  <c r="O17" i="17"/>
  <c r="O16" i="17"/>
  <c r="O14" i="17"/>
  <c r="O15" i="17"/>
  <c r="O13" i="17"/>
  <c r="E36" i="18"/>
  <c r="O12" i="18"/>
  <c r="O11" i="18"/>
  <c r="O14" i="18"/>
  <c r="O16" i="18"/>
  <c r="O15" i="18"/>
  <c r="O17" i="18"/>
  <c r="L81" i="7"/>
  <c r="D51" i="7" s="1"/>
  <c r="E51" i="7" s="1"/>
  <c r="AE70" i="4"/>
  <c r="V46" i="4"/>
  <c r="V47" i="4" s="1"/>
  <c r="L80" i="7"/>
  <c r="D50" i="7" s="1"/>
  <c r="L82" i="7"/>
  <c r="D52" i="7" s="1"/>
  <c r="V78" i="4"/>
  <c r="D99" i="7"/>
  <c r="C15" i="13"/>
  <c r="Q9" i="7"/>
  <c r="M39" i="4"/>
  <c r="AE71" i="4"/>
  <c r="L71" i="7"/>
  <c r="C52" i="7" s="1"/>
  <c r="D97" i="7"/>
  <c r="V82" i="4"/>
  <c r="V83" i="4" s="1"/>
  <c r="D94" i="7"/>
  <c r="AK14" i="4"/>
  <c r="L69" i="7"/>
  <c r="C50" i="7" s="1"/>
  <c r="AE69" i="4"/>
  <c r="D120" i="4"/>
  <c r="E56" i="5" s="1"/>
  <c r="D95" i="7"/>
  <c r="D100" i="7"/>
  <c r="D96" i="7"/>
  <c r="C3" i="7" l="1"/>
  <c r="M40" i="4"/>
  <c r="E32" i="13"/>
  <c r="H56" i="17"/>
  <c r="E36" i="17"/>
  <c r="F32" i="13"/>
  <c r="H56" i="18"/>
  <c r="E50" i="7"/>
  <c r="E52" i="7"/>
  <c r="V51" i="4"/>
  <c r="P17" i="7"/>
  <c r="P18" i="7"/>
  <c r="AE50" i="4"/>
  <c r="L72" i="7" s="1"/>
  <c r="C53" i="7" s="1"/>
  <c r="V84" i="4"/>
  <c r="AE42" i="4"/>
  <c r="L64" i="7" s="1"/>
  <c r="P19" i="7"/>
  <c r="P16" i="7"/>
  <c r="P12" i="7"/>
  <c r="P15" i="7"/>
  <c r="P11" i="7"/>
  <c r="P13" i="7"/>
  <c r="O6" i="7"/>
  <c r="O9" i="7" s="1"/>
  <c r="C3" i="13"/>
  <c r="P14" i="7"/>
  <c r="B15" i="19"/>
  <c r="B22" i="19" s="1"/>
  <c r="P20" i="7"/>
  <c r="D101" i="7"/>
  <c r="D107" i="7" s="1"/>
  <c r="V90" i="4" l="1"/>
  <c r="V92" i="4" s="1"/>
  <c r="V63" i="4"/>
  <c r="V67" i="4" s="1"/>
  <c r="V61" i="4"/>
  <c r="AE43" i="4" s="1"/>
  <c r="AE65" i="4" s="1"/>
  <c r="V62" i="4"/>
  <c r="AE44" i="4" s="1"/>
  <c r="AE64" i="4"/>
  <c r="C45" i="7"/>
  <c r="V85" i="4"/>
  <c r="AE61" i="4" s="1"/>
  <c r="P9" i="7"/>
  <c r="V69" i="4" l="1"/>
  <c r="V71" i="4" s="1"/>
  <c r="V70" i="4"/>
  <c r="V74" i="4" s="1"/>
  <c r="AE46" i="4"/>
  <c r="V68" i="4"/>
  <c r="L83" i="7"/>
  <c r="D53" i="7" s="1"/>
  <c r="E53" i="7" s="1"/>
  <c r="AE72" i="4"/>
  <c r="E45" i="7"/>
  <c r="AE56" i="4" l="1"/>
  <c r="V73" i="4"/>
  <c r="V72" i="4"/>
  <c r="AE45" i="4" s="1"/>
  <c r="L68" i="7"/>
  <c r="C49" i="7" s="1"/>
  <c r="E49" i="7" s="1"/>
  <c r="AE68" i="4"/>
  <c r="L66" i="7" l="1"/>
  <c r="C47" i="7" s="1"/>
  <c r="E47" i="7" s="1"/>
  <c r="AE66" i="4"/>
  <c r="L65" i="7"/>
  <c r="L67" i="7"/>
  <c r="C48" i="7" s="1"/>
  <c r="L78" i="7"/>
  <c r="D48" i="7" s="1"/>
  <c r="D55" i="7" s="1"/>
  <c r="C46" i="7" l="1"/>
  <c r="C55" i="7" s="1"/>
  <c r="E55" i="7" s="1"/>
  <c r="D106" i="7" s="1"/>
  <c r="D108" i="7" s="1"/>
  <c r="M85" i="7"/>
  <c r="AE67" i="4"/>
  <c r="AE74" i="4" s="1"/>
  <c r="AE76" i="4" s="1"/>
  <c r="E48" i="7"/>
  <c r="I55" i="7"/>
  <c r="E46" i="7" l="1"/>
  <c r="I54" i="7"/>
  <c r="I56" i="7" s="1"/>
  <c r="J56" i="7" s="1"/>
  <c r="J55" i="7"/>
  <c r="C35" i="13"/>
  <c r="C37" i="13" s="1"/>
  <c r="G95" i="4"/>
  <c r="E95" i="4"/>
  <c r="N35" i="4" s="1"/>
  <c r="AL11" i="4" s="1"/>
  <c r="O35" i="4"/>
  <c r="AM11" i="4" s="1"/>
  <c r="D98" i="15" l="1"/>
  <c r="C12" i="19"/>
  <c r="D98" i="17"/>
  <c r="D12" i="19"/>
  <c r="AG48" i="4"/>
  <c r="L70" i="17" s="1"/>
  <c r="C51" i="17" s="1"/>
  <c r="AF48" i="4"/>
  <c r="L70" i="15" s="1"/>
  <c r="C51" i="15" s="1"/>
  <c r="P35" i="4"/>
  <c r="AN11" i="4" s="1"/>
  <c r="G101" i="4"/>
  <c r="D24" i="13"/>
  <c r="C24" i="15"/>
  <c r="Q18" i="15" s="1"/>
  <c r="E24" i="13"/>
  <c r="C24" i="17"/>
  <c r="Q18" i="17" s="1"/>
  <c r="AF59" i="4"/>
  <c r="AG59" i="4"/>
  <c r="G112" i="4"/>
  <c r="P29" i="4"/>
  <c r="P30" i="4"/>
  <c r="P37" i="4"/>
  <c r="P36" i="4"/>
  <c r="P34" i="4"/>
  <c r="P31" i="4"/>
  <c r="P33" i="4"/>
  <c r="P28" i="4"/>
  <c r="P32" i="4"/>
  <c r="F109" i="4"/>
  <c r="O37" i="4"/>
  <c r="O36" i="4"/>
  <c r="O34" i="4"/>
  <c r="O33" i="4"/>
  <c r="O32" i="4"/>
  <c r="O28" i="4"/>
  <c r="O31" i="4"/>
  <c r="O30" i="4"/>
  <c r="O29" i="4"/>
  <c r="E102" i="4"/>
  <c r="N28" i="4"/>
  <c r="D17" i="13" s="1"/>
  <c r="N29" i="4"/>
  <c r="D18" i="13" s="1"/>
  <c r="N37" i="4"/>
  <c r="N30" i="4"/>
  <c r="N36" i="4"/>
  <c r="N34" i="4"/>
  <c r="N33" i="4"/>
  <c r="N32" i="4"/>
  <c r="N31" i="4"/>
  <c r="J54" i="7"/>
  <c r="C34" i="13"/>
  <c r="C36" i="13" s="1"/>
  <c r="C38" i="13" s="1"/>
  <c r="B21" i="19" s="1"/>
  <c r="D91" i="15"/>
  <c r="G110" i="4"/>
  <c r="E104" i="4"/>
  <c r="G108" i="4"/>
  <c r="F103" i="4"/>
  <c r="G106" i="4"/>
  <c r="F111" i="4"/>
  <c r="E109" i="4"/>
  <c r="G109" i="4"/>
  <c r="F112" i="4"/>
  <c r="E105" i="4"/>
  <c r="D91" i="18"/>
  <c r="F110" i="4"/>
  <c r="E103" i="4"/>
  <c r="G104" i="4"/>
  <c r="F108" i="4"/>
  <c r="E110" i="4"/>
  <c r="E101" i="4"/>
  <c r="D91" i="17"/>
  <c r="G102" i="4"/>
  <c r="F106" i="4"/>
  <c r="E112" i="4"/>
  <c r="G107" i="4"/>
  <c r="F102" i="4"/>
  <c r="E108" i="4"/>
  <c r="G105" i="4"/>
  <c r="F104" i="4"/>
  <c r="E106" i="4"/>
  <c r="G103" i="4"/>
  <c r="F107" i="4"/>
  <c r="E111" i="4"/>
  <c r="G111" i="4"/>
  <c r="F105" i="4"/>
  <c r="E107" i="4"/>
  <c r="D98" i="18" l="1"/>
  <c r="E12" i="19"/>
  <c r="AF49" i="4"/>
  <c r="AG49" i="4"/>
  <c r="AH49" i="4"/>
  <c r="C24" i="18"/>
  <c r="Q18" i="18" s="1"/>
  <c r="AH47" i="4"/>
  <c r="AG47" i="4"/>
  <c r="AF47" i="4"/>
  <c r="L69" i="15" s="1"/>
  <c r="C50" i="15" s="1"/>
  <c r="AH48" i="4"/>
  <c r="L70" i="18" s="1"/>
  <c r="C51" i="18" s="1"/>
  <c r="F24" i="13"/>
  <c r="AH59" i="4"/>
  <c r="G118" i="4"/>
  <c r="I54" i="5" s="1"/>
  <c r="F118" i="4"/>
  <c r="H54" i="5" s="1"/>
  <c r="L81" i="17"/>
  <c r="D51" i="17" s="1"/>
  <c r="E51" i="17" s="1"/>
  <c r="L81" i="15"/>
  <c r="D51" i="15" s="1"/>
  <c r="E51" i="15" s="1"/>
  <c r="AG70" i="4"/>
  <c r="AG60" i="4"/>
  <c r="AF60" i="4"/>
  <c r="AH60" i="4"/>
  <c r="AF70" i="4"/>
  <c r="AH58" i="4"/>
  <c r="AF58" i="4"/>
  <c r="AG58" i="4"/>
  <c r="C26" i="15"/>
  <c r="Q20" i="15" s="1"/>
  <c r="O38" i="4"/>
  <c r="N38" i="4"/>
  <c r="C15" i="15" s="1"/>
  <c r="Q9" i="15" s="1"/>
  <c r="P18" i="15" s="1"/>
  <c r="D26" i="13"/>
  <c r="C17" i="15"/>
  <c r="Q11" i="15" s="1"/>
  <c r="AL13" i="4"/>
  <c r="C14" i="19" s="1"/>
  <c r="C18" i="15"/>
  <c r="Q12" i="15" s="1"/>
  <c r="G123" i="4"/>
  <c r="G124" i="4"/>
  <c r="E123" i="4"/>
  <c r="E124" i="4"/>
  <c r="F123" i="4"/>
  <c r="H53" i="5" s="1"/>
  <c r="F124" i="4"/>
  <c r="AN13" i="4"/>
  <c r="E14" i="19" s="1"/>
  <c r="F26" i="13"/>
  <c r="C26" i="18"/>
  <c r="Q20" i="18" s="1"/>
  <c r="AN10" i="4"/>
  <c r="E11" i="19" s="1"/>
  <c r="F23" i="13"/>
  <c r="C23" i="18"/>
  <c r="Q17" i="18" s="1"/>
  <c r="E20" i="13"/>
  <c r="C20" i="17"/>
  <c r="Q14" i="17" s="1"/>
  <c r="AM7" i="4"/>
  <c r="D8" i="19" s="1"/>
  <c r="D23" i="13"/>
  <c r="AL10" i="4"/>
  <c r="C11" i="19" s="1"/>
  <c r="C23" i="15"/>
  <c r="Q17" i="15" s="1"/>
  <c r="C25" i="18"/>
  <c r="Q19" i="18" s="1"/>
  <c r="F25" i="13"/>
  <c r="AN12" i="4"/>
  <c r="E13" i="19" s="1"/>
  <c r="AN8" i="4"/>
  <c r="E9" i="19" s="1"/>
  <c r="C21" i="18"/>
  <c r="Q15" i="18" s="1"/>
  <c r="F21" i="13"/>
  <c r="AM13" i="4"/>
  <c r="D14" i="19" s="1"/>
  <c r="E26" i="13"/>
  <c r="C26" i="17"/>
  <c r="Q20" i="17" s="1"/>
  <c r="E19" i="13"/>
  <c r="C19" i="17"/>
  <c r="Q13" i="17" s="1"/>
  <c r="AM12" i="4"/>
  <c r="D13" i="19" s="1"/>
  <c r="E25" i="13"/>
  <c r="C25" i="17"/>
  <c r="Q19" i="17" s="1"/>
  <c r="E18" i="13"/>
  <c r="C18" i="17"/>
  <c r="Q12" i="17" s="1"/>
  <c r="F19" i="13"/>
  <c r="C19" i="18"/>
  <c r="Q13" i="18" s="1"/>
  <c r="AL8" i="4"/>
  <c r="C9" i="19" s="1"/>
  <c r="D21" i="13"/>
  <c r="C21" i="15"/>
  <c r="Q15" i="15" s="1"/>
  <c r="AM10" i="4"/>
  <c r="D11" i="19" s="1"/>
  <c r="E23" i="13"/>
  <c r="C23" i="17"/>
  <c r="Q17" i="17" s="1"/>
  <c r="D25" i="13"/>
  <c r="C25" i="15"/>
  <c r="Q19" i="15" s="1"/>
  <c r="AL12" i="4"/>
  <c r="C13" i="19" s="1"/>
  <c r="F17" i="13"/>
  <c r="C17" i="18"/>
  <c r="Q11" i="18" s="1"/>
  <c r="P38" i="4"/>
  <c r="G113" i="4"/>
  <c r="G119" i="4"/>
  <c r="I55" i="5" s="1"/>
  <c r="AM8" i="4"/>
  <c r="D9" i="19" s="1"/>
  <c r="E21" i="13"/>
  <c r="C21" i="17"/>
  <c r="Q15" i="17" s="1"/>
  <c r="F20" i="13"/>
  <c r="C20" i="18"/>
  <c r="Q14" i="18" s="1"/>
  <c r="AN7" i="4"/>
  <c r="E8" i="19" s="1"/>
  <c r="F119" i="4"/>
  <c r="H55" i="5" s="1"/>
  <c r="F113" i="4"/>
  <c r="AL9" i="4"/>
  <c r="C10" i="19" s="1"/>
  <c r="D22" i="13"/>
  <c r="C22" i="15"/>
  <c r="Q16" i="15" s="1"/>
  <c r="C22" i="17"/>
  <c r="Q16" i="17" s="1"/>
  <c r="E22" i="13"/>
  <c r="AM9" i="4"/>
  <c r="D10" i="19" s="1"/>
  <c r="F18" i="13"/>
  <c r="C18" i="18"/>
  <c r="Q12" i="18" s="1"/>
  <c r="E17" i="13"/>
  <c r="C17" i="17"/>
  <c r="Q11" i="17" s="1"/>
  <c r="E119" i="4"/>
  <c r="G55" i="5" s="1"/>
  <c r="E113" i="4"/>
  <c r="E118" i="4"/>
  <c r="G54" i="5" s="1"/>
  <c r="C20" i="15"/>
  <c r="Q14" i="15" s="1"/>
  <c r="AL7" i="4"/>
  <c r="C8" i="19" s="1"/>
  <c r="D20" i="13"/>
  <c r="D19" i="13"/>
  <c r="C19" i="15"/>
  <c r="Q13" i="15" s="1"/>
  <c r="C22" i="18"/>
  <c r="Q16" i="18" s="1"/>
  <c r="AN9" i="4"/>
  <c r="E10" i="19" s="1"/>
  <c r="F22" i="13"/>
  <c r="G53" i="5" l="1"/>
  <c r="I53" i="5"/>
  <c r="L81" i="18"/>
  <c r="D51" i="18" s="1"/>
  <c r="E51" i="18" s="1"/>
  <c r="AH70" i="4"/>
  <c r="L80" i="18"/>
  <c r="D50" i="18" s="1"/>
  <c r="L82" i="15"/>
  <c r="D52" i="15" s="1"/>
  <c r="L82" i="18"/>
  <c r="D52" i="18" s="1"/>
  <c r="L82" i="17"/>
  <c r="D52" i="17" s="1"/>
  <c r="L80" i="17"/>
  <c r="D50" i="17" s="1"/>
  <c r="L80" i="15"/>
  <c r="D50" i="15" s="1"/>
  <c r="E50" i="15" s="1"/>
  <c r="X46" i="4"/>
  <c r="X47" i="4" s="1"/>
  <c r="X77" i="4"/>
  <c r="X78" i="4" s="1"/>
  <c r="W46" i="4"/>
  <c r="W47" i="4" s="1"/>
  <c r="W77" i="4"/>
  <c r="W78" i="4" s="1"/>
  <c r="Y46" i="4"/>
  <c r="Y47" i="4" s="1"/>
  <c r="Y77" i="4"/>
  <c r="Y78" i="4" s="1"/>
  <c r="D15" i="13"/>
  <c r="N39" i="4"/>
  <c r="D3" i="13" s="1"/>
  <c r="D100" i="15"/>
  <c r="P12" i="15"/>
  <c r="P19" i="15"/>
  <c r="P14" i="15"/>
  <c r="P16" i="15"/>
  <c r="P15" i="15"/>
  <c r="P13" i="15"/>
  <c r="P17" i="15"/>
  <c r="D99" i="15"/>
  <c r="D95" i="15"/>
  <c r="D99" i="17"/>
  <c r="AH69" i="4"/>
  <c r="L69" i="18"/>
  <c r="C50" i="18" s="1"/>
  <c r="D95" i="17"/>
  <c r="D97" i="18"/>
  <c r="D97" i="15"/>
  <c r="L71" i="15"/>
  <c r="C52" i="15" s="1"/>
  <c r="AF71" i="4"/>
  <c r="D95" i="18"/>
  <c r="X82" i="4"/>
  <c r="G120" i="4"/>
  <c r="I56" i="5" s="1"/>
  <c r="AF69" i="4"/>
  <c r="F120" i="4"/>
  <c r="H56" i="5" s="1"/>
  <c r="Y82" i="4"/>
  <c r="L69" i="17"/>
  <c r="C50" i="17" s="1"/>
  <c r="AG69" i="4"/>
  <c r="C15" i="17"/>
  <c r="Q9" i="17" s="1"/>
  <c r="E15" i="13"/>
  <c r="O39" i="4"/>
  <c r="D94" i="17"/>
  <c r="AM14" i="4"/>
  <c r="D96" i="15"/>
  <c r="D96" i="17"/>
  <c r="D99" i="18"/>
  <c r="D100" i="18"/>
  <c r="E120" i="4"/>
  <c r="G56" i="5" s="1"/>
  <c r="W82" i="4"/>
  <c r="D94" i="18"/>
  <c r="AN14" i="4"/>
  <c r="D97" i="17"/>
  <c r="D96" i="18"/>
  <c r="C15" i="18"/>
  <c r="Q9" i="18" s="1"/>
  <c r="F15" i="13"/>
  <c r="P39" i="4"/>
  <c r="AG71" i="4"/>
  <c r="L71" i="17"/>
  <c r="C52" i="17" s="1"/>
  <c r="D94" i="15"/>
  <c r="AL14" i="4"/>
  <c r="D100" i="17"/>
  <c r="L71" i="18"/>
  <c r="C52" i="18" s="1"/>
  <c r="AH71" i="4"/>
  <c r="P11" i="15"/>
  <c r="P20" i="15"/>
  <c r="E52" i="17" l="1"/>
  <c r="E50" i="18"/>
  <c r="E52" i="18"/>
  <c r="E52" i="15"/>
  <c r="E50" i="17"/>
  <c r="X51" i="4"/>
  <c r="Y51" i="4"/>
  <c r="W51" i="4"/>
  <c r="P13" i="18"/>
  <c r="P18" i="18"/>
  <c r="P17" i="17"/>
  <c r="P18" i="17"/>
  <c r="AH50" i="4"/>
  <c r="L72" i="18" s="1"/>
  <c r="C53" i="18" s="1"/>
  <c r="AF50" i="4"/>
  <c r="L72" i="15" s="1"/>
  <c r="C53" i="15" s="1"/>
  <c r="Y84" i="4"/>
  <c r="Y83" i="4"/>
  <c r="AG50" i="4"/>
  <c r="L72" i="17" s="1"/>
  <c r="C53" i="17" s="1"/>
  <c r="W84" i="4"/>
  <c r="W83" i="4"/>
  <c r="X84" i="4"/>
  <c r="X83" i="4"/>
  <c r="N40" i="4"/>
  <c r="C3" i="15"/>
  <c r="O6" i="15" s="1"/>
  <c r="O9" i="15" s="1"/>
  <c r="AG42" i="4"/>
  <c r="AG64" i="4" s="1"/>
  <c r="AH42" i="4"/>
  <c r="AH64" i="4" s="1"/>
  <c r="AF42" i="4"/>
  <c r="L64" i="15" s="1"/>
  <c r="P16" i="17"/>
  <c r="P20" i="17"/>
  <c r="P12" i="17"/>
  <c r="P14" i="18"/>
  <c r="C15" i="19"/>
  <c r="C22" i="19" s="1"/>
  <c r="C24" i="19" s="1"/>
  <c r="D101" i="15"/>
  <c r="D107" i="15" s="1"/>
  <c r="P16" i="18"/>
  <c r="P40" i="4"/>
  <c r="F3" i="13"/>
  <c r="C3" i="18"/>
  <c r="O6" i="18" s="1"/>
  <c r="O9" i="18" s="1"/>
  <c r="O40" i="4"/>
  <c r="C3" i="17"/>
  <c r="O6" i="17" s="1"/>
  <c r="O9" i="17" s="1"/>
  <c r="E3" i="13"/>
  <c r="D101" i="18"/>
  <c r="D107" i="18" s="1"/>
  <c r="P12" i="18"/>
  <c r="P20" i="18"/>
  <c r="E15" i="19"/>
  <c r="E22" i="19" s="1"/>
  <c r="E24" i="19" s="1"/>
  <c r="D15" i="19"/>
  <c r="D22" i="19" s="1"/>
  <c r="D24" i="19" s="1"/>
  <c r="P15" i="18"/>
  <c r="P17" i="18"/>
  <c r="P19" i="18"/>
  <c r="D101" i="17"/>
  <c r="D107" i="17" s="1"/>
  <c r="P15" i="17"/>
  <c r="P19" i="17"/>
  <c r="P11" i="18"/>
  <c r="P14" i="17"/>
  <c r="P13" i="17"/>
  <c r="P11" i="17"/>
  <c r="Y63" i="4" l="1"/>
  <c r="Y70" i="4" s="1"/>
  <c r="Y74" i="4" s="1"/>
  <c r="Y90" i="4"/>
  <c r="Y92" i="4" s="1"/>
  <c r="AH46" i="4" s="1"/>
  <c r="W61" i="4"/>
  <c r="AF43" i="4" s="1"/>
  <c r="W63" i="4"/>
  <c r="W67" i="4" s="1"/>
  <c r="Y61" i="4"/>
  <c r="AH43" i="4" s="1"/>
  <c r="X61" i="4"/>
  <c r="AG43" i="4" s="1"/>
  <c r="Y62" i="4"/>
  <c r="AH44" i="4" s="1"/>
  <c r="X90" i="4"/>
  <c r="X62" i="4"/>
  <c r="AG44" i="4" s="1"/>
  <c r="X63" i="4"/>
  <c r="X70" i="4" s="1"/>
  <c r="W62" i="4"/>
  <c r="AF44" i="4" s="1"/>
  <c r="W90" i="4"/>
  <c r="W92" i="4" s="1"/>
  <c r="AF46" i="4" s="1"/>
  <c r="L64" i="18"/>
  <c r="C45" i="18" s="1"/>
  <c r="AF64" i="4"/>
  <c r="P9" i="15"/>
  <c r="L64" i="17"/>
  <c r="C45" i="17" s="1"/>
  <c r="P9" i="18"/>
  <c r="W85" i="4"/>
  <c r="AF61" i="4" s="1"/>
  <c r="Y85" i="4"/>
  <c r="AH61" i="4" s="1"/>
  <c r="P9" i="17"/>
  <c r="C45" i="15"/>
  <c r="X85" i="4"/>
  <c r="AG61" i="4" s="1"/>
  <c r="Y67" i="4" l="1"/>
  <c r="Y68" i="4" s="1"/>
  <c r="Y69" i="4"/>
  <c r="Y71" i="4" s="1"/>
  <c r="AH56" i="4" s="1"/>
  <c r="W68" i="4"/>
  <c r="W70" i="4"/>
  <c r="W73" i="4" s="1"/>
  <c r="W69" i="4"/>
  <c r="W71" i="4" s="1"/>
  <c r="X92" i="4"/>
  <c r="AG46" i="4" s="1"/>
  <c r="X73" i="4"/>
  <c r="X72" i="4"/>
  <c r="X67" i="4"/>
  <c r="X68" i="4" s="1"/>
  <c r="X69" i="4"/>
  <c r="X71" i="4" s="1"/>
  <c r="L83" i="18"/>
  <c r="D53" i="18" s="1"/>
  <c r="E53" i="18" s="1"/>
  <c r="Y73" i="4"/>
  <c r="X74" i="4"/>
  <c r="Y72" i="4"/>
  <c r="L83" i="15"/>
  <c r="D53" i="15" s="1"/>
  <c r="E53" i="15" s="1"/>
  <c r="AH72" i="4"/>
  <c r="AF72" i="4"/>
  <c r="E45" i="15"/>
  <c r="E45" i="18"/>
  <c r="E45" i="17"/>
  <c r="L83" i="17"/>
  <c r="D53" i="17" s="1"/>
  <c r="E53" i="17" s="1"/>
  <c r="AG72" i="4"/>
  <c r="AH45" i="4" l="1"/>
  <c r="W72" i="4"/>
  <c r="AF45" i="4" s="1"/>
  <c r="W74" i="4"/>
  <c r="AF56" i="4" s="1"/>
  <c r="AG45" i="4"/>
  <c r="AG56" i="4"/>
  <c r="AG68" i="4"/>
  <c r="L68" i="17"/>
  <c r="C49" i="17" s="1"/>
  <c r="E49" i="17" s="1"/>
  <c r="L68" i="18"/>
  <c r="C49" i="18" s="1"/>
  <c r="E49" i="18" s="1"/>
  <c r="AH68" i="4"/>
  <c r="AF68" i="4"/>
  <c r="L68" i="15"/>
  <c r="C49" i="15" s="1"/>
  <c r="E49" i="15" s="1"/>
  <c r="L66" i="18" l="1"/>
  <c r="C47" i="18" s="1"/>
  <c r="E47" i="18" s="1"/>
  <c r="AH66" i="4"/>
  <c r="L65" i="18"/>
  <c r="AH65" i="4"/>
  <c r="AF66" i="4"/>
  <c r="L66" i="15"/>
  <c r="C47" i="15" s="1"/>
  <c r="E47" i="15" s="1"/>
  <c r="L65" i="17"/>
  <c r="AG65" i="4"/>
  <c r="L66" i="17"/>
  <c r="C47" i="17" s="1"/>
  <c r="E47" i="17" s="1"/>
  <c r="AG66" i="4"/>
  <c r="L78" i="18"/>
  <c r="D48" i="18" s="1"/>
  <c r="D55" i="18" s="1"/>
  <c r="L78" i="17"/>
  <c r="D48" i="17" s="1"/>
  <c r="D55" i="17" s="1"/>
  <c r="L67" i="15"/>
  <c r="C48" i="15" s="1"/>
  <c r="L67" i="17"/>
  <c r="C48" i="17" s="1"/>
  <c r="L65" i="15"/>
  <c r="AF65" i="4"/>
  <c r="L67" i="18"/>
  <c r="C48" i="18" s="1"/>
  <c r="L78" i="15" l="1"/>
  <c r="C46" i="17"/>
  <c r="C55" i="17" s="1"/>
  <c r="E55" i="17" s="1"/>
  <c r="D106" i="17" s="1"/>
  <c r="D108" i="17" s="1"/>
  <c r="M85" i="17"/>
  <c r="C46" i="18"/>
  <c r="C55" i="18" s="1"/>
  <c r="E55" i="18" s="1"/>
  <c r="D106" i="18" s="1"/>
  <c r="D108" i="18" s="1"/>
  <c r="M85" i="18"/>
  <c r="C46" i="15"/>
  <c r="C55" i="15" s="1"/>
  <c r="AG67" i="4"/>
  <c r="AG74" i="4" s="1"/>
  <c r="AG76" i="4" s="1"/>
  <c r="AF67" i="4"/>
  <c r="AF74" i="4" s="1"/>
  <c r="AF76" i="4" s="1"/>
  <c r="E48" i="18"/>
  <c r="I55" i="18"/>
  <c r="I55" i="17"/>
  <c r="E48" i="17"/>
  <c r="AH67" i="4"/>
  <c r="AH74" i="4" s="1"/>
  <c r="AH76" i="4" s="1"/>
  <c r="D48" i="15" l="1"/>
  <c r="M85" i="15"/>
  <c r="E46" i="15"/>
  <c r="I54" i="15"/>
  <c r="E46" i="18"/>
  <c r="I54" i="18"/>
  <c r="I56" i="18" s="1"/>
  <c r="J56" i="18" s="1"/>
  <c r="E46" i="17"/>
  <c r="I54" i="17"/>
  <c r="I56" i="17" s="1"/>
  <c r="J56" i="17" s="1"/>
  <c r="J55" i="18"/>
  <c r="F35" i="13"/>
  <c r="F37" i="13" s="1"/>
  <c r="E35" i="13"/>
  <c r="E37" i="13" s="1"/>
  <c r="J55" i="17"/>
  <c r="D55" i="15" l="1"/>
  <c r="E55" i="15" s="1"/>
  <c r="D106" i="15" s="1"/>
  <c r="D108" i="15" s="1"/>
  <c r="I55" i="15"/>
  <c r="E48" i="15"/>
  <c r="E34" i="13"/>
  <c r="E36" i="13" s="1"/>
  <c r="E38" i="13" s="1"/>
  <c r="J54" i="17"/>
  <c r="J54" i="18"/>
  <c r="F34" i="13"/>
  <c r="F36" i="13" s="1"/>
  <c r="F38" i="13" s="1"/>
  <c r="D34" i="13"/>
  <c r="D36" i="13" s="1"/>
  <c r="J54" i="15"/>
  <c r="D21" i="19" l="1"/>
  <c r="D23" i="19" s="1"/>
  <c r="D27" i="19" s="1"/>
  <c r="D28" i="19" s="1"/>
  <c r="E40" i="13"/>
  <c r="E41" i="13" s="1"/>
  <c r="E21" i="19"/>
  <c r="E23" i="19" s="1"/>
  <c r="E27" i="19" s="1"/>
  <c r="E28" i="19" s="1"/>
  <c r="F40" i="13"/>
  <c r="F41" i="13" s="1"/>
  <c r="D35" i="13"/>
  <c r="D37" i="13" s="1"/>
  <c r="D38" i="13" s="1"/>
  <c r="J55" i="15"/>
  <c r="I56" i="15"/>
  <c r="J56" i="15" s="1"/>
  <c r="C21" i="19" l="1"/>
  <c r="C23" i="19" s="1"/>
  <c r="C27" i="19" s="1"/>
  <c r="C28" i="19" s="1"/>
  <c r="D40" i="13"/>
  <c r="D4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Regine</author>
    <author>Regine Vogt</author>
  </authors>
  <commentList>
    <comment ref="K17" authorId="0" shapeId="0" xr:uid="{00000000-0006-0000-0200-000001000000}">
      <text>
        <r>
          <rPr>
            <sz val="9"/>
            <color indexed="81"/>
            <rFont val="Tahoma"/>
            <family val="2"/>
          </rPr>
          <t>Conversion 
1 kg/cap/day = 365 kg/cap/yr</t>
        </r>
      </text>
    </comment>
    <comment ref="J18" authorId="1" shapeId="0" xr:uid="{9CE4DD5D-55D3-4B03-92A4-495DDB6B26EE}">
      <text>
        <r>
          <rPr>
            <sz val="9"/>
            <color indexed="81"/>
            <rFont val="Segoe UI"/>
            <family val="2"/>
          </rPr>
          <t>In case of 0, no population is documented in DSW 2021</t>
        </r>
      </text>
    </comment>
    <comment ref="E36" authorId="0" shapeId="0" xr:uid="{00000000-0006-0000-0200-000003000000}">
      <text>
        <r>
          <rPr>
            <sz val="9"/>
            <color indexed="81"/>
            <rFont val="Tahoma"/>
            <family val="2"/>
          </rPr>
          <t>Wet waste is not treated before measuring, while dry waste is estimated after drying the waste under certain temperature, ventilation and time conditions before measuring. 
For dry waste it is assumed that no moisture is left in the dry matter:
wet waste = dry matter plus water content</t>
        </r>
      </text>
    </comment>
    <comment ref="B37" authorId="0" shapeId="0" xr:uid="{00000000-0006-0000-0200-000004000000}">
      <text>
        <r>
          <rPr>
            <sz val="9"/>
            <color indexed="81"/>
            <rFont val="Tahoma"/>
            <family val="2"/>
          </rPr>
          <t>If no information is available to distinguish between food waste and garden &amp; park waste, it is recommended to allocate 50% of the known percentage of organic waste to food waste and 50% to garden and park waste.</t>
        </r>
      </text>
    </comment>
    <comment ref="B38" authorId="0" shapeId="0" xr:uid="{00000000-0006-0000-0200-000005000000}">
      <text>
        <r>
          <rPr>
            <sz val="9"/>
            <color indexed="81"/>
            <rFont val="Tahoma"/>
            <family val="2"/>
          </rPr>
          <t>If no information is available to distinguish between food waste and garden &amp; park waste, it is recommended to allocate 50% of the known percentage of organic waste to food waste and 50% to garden and park waste.</t>
        </r>
      </text>
    </comment>
    <comment ref="B39" authorId="0" shapeId="0" xr:uid="{00000000-0006-0000-0200-000006000000}">
      <text>
        <r>
          <rPr>
            <sz val="9"/>
            <color indexed="81"/>
            <rFont val="Tahoma"/>
            <family val="2"/>
          </rPr>
          <t>Tetra Pak and cardboard packagings can also be added here.</t>
        </r>
      </text>
    </comment>
    <comment ref="B40" authorId="0" shapeId="0" xr:uid="{00000000-0006-0000-0200-000007000000}">
      <text>
        <r>
          <rPr>
            <sz val="9"/>
            <color indexed="81"/>
            <rFont val="Tahoma"/>
            <family val="2"/>
          </rPr>
          <t>Includes polyethylen, polypropylen, PET, polystyrene and PVC.</t>
        </r>
      </text>
    </comment>
    <comment ref="C42" authorId="1" shapeId="0" xr:uid="{5957C1ED-E81E-4B27-B138-EA099B52A65D}">
      <text>
        <r>
          <rPr>
            <sz val="9"/>
            <color indexed="81"/>
            <rFont val="Segoe UI"/>
            <family val="2"/>
          </rPr>
          <t>The IPCC guidelines do not provide separate values for ferrous and non-ferrous metals. Typically the share of ferrous metals and non-ferrous metals is about 85:15</t>
        </r>
      </text>
    </comment>
    <comment ref="B43" authorId="0" shapeId="0" xr:uid="{00000000-0006-0000-0200-000008000000}">
      <text>
        <r>
          <rPr>
            <sz val="9"/>
            <color indexed="81"/>
            <rFont val="Tahoma"/>
            <family val="2"/>
          </rPr>
          <t>Only Aluminium, since other non-ferrous metals are not regarded separately due to their minor importance.
Other non-ferrous metals should be included in "Other, inert waste".</t>
        </r>
      </text>
    </comment>
    <comment ref="B48" authorId="0" shapeId="0" xr:uid="{00000000-0006-0000-0200-000009000000}">
      <text>
        <r>
          <rPr>
            <sz val="9"/>
            <color indexed="81"/>
            <rFont val="Tahoma"/>
            <family val="2"/>
          </rPr>
          <t>Consists mainly of mineral waste, ashes, and all other waste fractions that are not mentioned, like "fine fraction", "miscellaneous", etc.
This fraction has a low carbon content (about 3%, IPCC 2019), the calorific value is set to 0 (see worksheet "Calculation").</t>
        </r>
      </text>
    </comment>
    <comment ref="B56" authorId="0" shapeId="0" xr:uid="{00000000-0006-0000-0200-00000A000000}">
      <text>
        <r>
          <rPr>
            <sz val="9"/>
            <color indexed="81"/>
            <rFont val="Tahoma"/>
            <family val="2"/>
          </rPr>
          <t xml:space="preserve">As a rough rule of thumb, a water content below 40% can be considered as low and a water content above 40% as high.
</t>
        </r>
      </text>
    </comment>
    <comment ref="K58" authorId="0" shapeId="0" xr:uid="{00000000-0006-0000-0200-00000B000000}">
      <text>
        <r>
          <rPr>
            <sz val="9"/>
            <color indexed="81"/>
            <rFont val="Tahoma"/>
            <family val="2"/>
          </rPr>
          <t>In case this cell indicates "wrong", please check if you answered the question about water content correctly. 
You have to insert "1" either for low water content or high water content.</t>
        </r>
      </text>
    </comment>
    <comment ref="H60" authorId="0" shapeId="0" xr:uid="{00000000-0006-0000-0200-00000C000000}">
      <text>
        <r>
          <rPr>
            <sz val="9"/>
            <color indexed="81"/>
            <rFont val="Tahoma"/>
            <family val="2"/>
          </rPr>
          <t xml:space="preserve">Fossil carbon is non-degradable carbon, which causes climate change when it is incinerated (it is oxidised to fossil CO2).
</t>
        </r>
      </text>
    </comment>
    <comment ref="H61" authorId="0" shapeId="0" xr:uid="{00000000-0006-0000-0200-00000D000000}">
      <text>
        <r>
          <rPr>
            <sz val="9"/>
            <color indexed="81"/>
            <rFont val="Tahoma"/>
            <family val="2"/>
          </rPr>
          <t>Regenerative carbon is degradable organic carbon (DOC). 
The DOC is responsible for the generation of landfill gas, but it is considered as neutral to climate change when it is incinerated and oxidised to CO2. This because it originates from plants that bound CO2 from the atmosphere.</t>
        </r>
      </text>
    </comment>
    <comment ref="A68" authorId="1" shapeId="0" xr:uid="{E2A885CC-EBC8-4AD2-948A-76ACEB298670}">
      <text>
        <r>
          <rPr>
            <sz val="9"/>
            <color indexed="81"/>
            <rFont val="Segoe UI"/>
            <family val="2"/>
          </rPr>
          <t>The combined margin is comprised of an operating margin (33%) and a build margin (67%).
(a) The operating margin represents the cohort of existing power plants whose operation will be most affected (reduced) by the project.
(b) The build margin represents the cohort of the prospective/future power plants whose construction and operation could be affected by the renewable energy project, based on an assessment of planned and expected new generation capacity.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Regine</author>
    <author>Regine Vogt</author>
    <author>Noora Harju</author>
  </authors>
  <commentList>
    <comment ref="K10" authorId="0" shapeId="0" xr:uid="{00000000-0006-0000-0300-000001000000}">
      <text>
        <r>
          <rPr>
            <sz val="9"/>
            <color indexed="81"/>
            <rFont val="Tahoma"/>
            <family val="2"/>
          </rPr>
          <t>Example:
If in "Start" 11% was assigned to "paper, cardboard" of the total waste amount, then please indicate here the share "x%" of this 11% that is recycled.</t>
        </r>
      </text>
    </comment>
    <comment ref="A11" authorId="1" shapeId="0" xr:uid="{9BB30009-9371-43C0-99D2-A7FF00BB23B6}">
      <text>
        <r>
          <rPr>
            <sz val="9"/>
            <color indexed="81"/>
            <rFont val="Segoe UI"/>
            <family val="2"/>
          </rPr>
          <t>seperate collection either by segregated collection from households or by wrag picking from the street or from landfills. Wrag picking should best be avoided and integrated in more healthy forms of source segregation.</t>
        </r>
      </text>
    </comment>
    <comment ref="E13" authorId="0" shapeId="0" xr:uid="{00000000-0006-0000-0300-000002000000}">
      <text>
        <r>
          <rPr>
            <sz val="9"/>
            <color indexed="81"/>
            <rFont val="Tahoma"/>
            <family val="2"/>
          </rPr>
          <t>Example:
If in "Start" 11% was assigned to "paper, cardboard" of the total waste amount, then please indicate here the share "x%" of this 11% that is recycled.</t>
        </r>
      </text>
    </comment>
    <comment ref="E23" authorId="0" shapeId="0" xr:uid="{00000000-0006-0000-0300-000003000000}">
      <text>
        <r>
          <rPr>
            <sz val="9"/>
            <color indexed="81"/>
            <rFont val="Tahoma"/>
            <family val="2"/>
          </rPr>
          <t>Example:
If in "Start" 35% was assigned to food waste of the total waste amount, then please indicate here the share "x%" of this 35% that is recycled.</t>
        </r>
      </text>
    </comment>
    <comment ref="E30" authorId="0" shapeId="0" xr:uid="{00000000-0006-0000-0300-000004000000}">
      <text>
        <r>
          <rPr>
            <sz val="9"/>
            <color indexed="81"/>
            <rFont val="Tahoma"/>
            <family val="2"/>
          </rPr>
          <t>Above you indicated the share of food waste and garden &amp; park waste to recycling. 
Please indicate here how many percent of this recycled organic waste (food waste and garden &amp; park waste in total) is composted and how many percent is anaerobically digested.</t>
        </r>
      </text>
    </comment>
    <comment ref="E40" authorId="0" shapeId="0" xr:uid="{96ACE23C-0B47-4123-BA0F-8290CC130591}">
      <text>
        <r>
          <rPr>
            <sz val="9"/>
            <color indexed="81"/>
            <rFont val="Tahoma"/>
            <family val="2"/>
          </rPr>
          <t>Please indicate here how many percent of the biogas generated is used in a combined heat and power plant (CHP) and how many percent is further treated to produce biomethane (CO2 separation).</t>
        </r>
      </text>
    </comment>
    <comment ref="B53" authorId="2" shapeId="0" xr:uid="{BCBA59A2-A089-40D0-A4F6-2EC2725DBC80}">
      <text>
        <r>
          <rPr>
            <sz val="9"/>
            <color indexed="81"/>
            <rFont val="Segoe UI"/>
            <family val="2"/>
          </rPr>
          <t xml:space="preserve">Information:
Calorific value depends mainly on the parameters of water content, ash content and the content of combustable material. These three parameters decide if self sustaining incineration of waste can take place. 
As a rough rule of thumb, it can be assumed that self sustaining incineration is difficult or no longer possible if the calorific value of waste is &lt; 6 MJ/kg. 
In any case, in practise waste should be thoroughly tested for its qualification for the incineration. 
</t>
        </r>
      </text>
    </comment>
    <comment ref="E53" authorId="0" shapeId="0" xr:uid="{F6D6E394-07CC-4400-8965-8D94B2B2EB5C}">
      <text>
        <r>
          <rPr>
            <sz val="9"/>
            <color indexed="81"/>
            <rFont val="Tahoma"/>
            <family val="2"/>
          </rPr>
          <t>In case this cell indicates "wrong", please check if you answered the question about water content on the worksheet "Start" correctly. 
You have to insert "1" either for low water content or high water content.</t>
        </r>
      </text>
    </comment>
    <comment ref="B55" authorId="0" shapeId="0" xr:uid="{00000000-0006-0000-0300-000006000000}">
      <text>
        <r>
          <rPr>
            <sz val="9"/>
            <color indexed="81"/>
            <rFont val="Tahoma"/>
            <family val="2"/>
          </rPr>
          <t>Fossil carbon is non-degradable carbon, which causes climate change when it is incinerated (it is oxidised to fossil CO2).</t>
        </r>
      </text>
    </comment>
    <comment ref="B56" authorId="0" shapeId="0" xr:uid="{00000000-0006-0000-0300-000007000000}">
      <text>
        <r>
          <rPr>
            <sz val="9"/>
            <color indexed="81"/>
            <rFont val="Tahoma"/>
            <family val="2"/>
          </rPr>
          <t>Regenerative carbon is degradable organic carbon (DOC). 
The DOC is responsible for the generation of landfill gas, but it is considered as neutral to climate change when it is incinerated and oxidised to CO2. This because it originates from plants that bound CO2 from the atmosphere.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Regine Vogt</author>
    <author>Regine</author>
  </authors>
  <commentList>
    <comment ref="B8" authorId="0" shapeId="0" xr:uid="{3E2872D4-A691-41A5-BBDC-346DFDF417A1}">
      <text>
        <r>
          <rPr>
            <sz val="9"/>
            <color indexed="81"/>
            <rFont val="Segoe UI"/>
            <family val="2"/>
          </rPr>
          <t>Primary waste treatment refers to the initial treatment of the residual waste. Further treatments, such as landfilling or recycling of MBT outputs, are included in the MBT options.</t>
        </r>
      </text>
    </comment>
    <comment ref="E9" authorId="1" shapeId="0" xr:uid="{00000000-0006-0000-0400-000001000000}">
      <text>
        <r>
          <rPr>
            <sz val="9"/>
            <color indexed="81"/>
            <rFont val="Tahoma"/>
            <family val="2"/>
          </rPr>
          <t xml:space="preserve">Explanation
In "Recycling" you defined the share of waste fractions being recycled. This recycled waste is subtracted from the original total waste amount you inserted in "Start". 
Here you shall indicate what happens with the remaining residual waste after subtraction the recycled waste.
</t>
        </r>
      </text>
    </comment>
    <comment ref="B10" authorId="1" shapeId="0" xr:uid="{00000000-0006-0000-0400-000002000000}">
      <text>
        <r>
          <rPr>
            <sz val="9"/>
            <color indexed="81"/>
            <rFont val="Tahoma"/>
            <family val="2"/>
          </rPr>
          <t xml:space="preserve">Scattered waste is waste being thrown into the landscape everywhere, and it decomposes under aerobic conditions.
</t>
        </r>
        <r>
          <rPr>
            <b/>
            <sz val="9"/>
            <color indexed="81"/>
            <rFont val="Tahoma"/>
            <family val="2"/>
          </rPr>
          <t>Although this means no methane emissions, this practise should be avoided at all costs as it poses massiv health hazards to the population and damages the environment.</t>
        </r>
      </text>
    </comment>
    <comment ref="B11" authorId="1" shapeId="0" xr:uid="{00000000-0006-0000-0400-000003000000}">
      <text>
        <r>
          <rPr>
            <sz val="9"/>
            <color indexed="81"/>
            <rFont val="Tahoma"/>
            <family val="2"/>
          </rPr>
          <t>Open burning of waste can take place with scattered waste or directly at households. Additionally, sometimes landfilled waste is burned on purpose or accidentally.</t>
        </r>
      </text>
    </comment>
    <comment ref="B12" authorId="1" shapeId="0" xr:uid="{00000000-0006-0000-0400-000004000000}">
      <text>
        <r>
          <rPr>
            <sz val="9"/>
            <color indexed="81"/>
            <rFont val="Tahoma"/>
            <family val="2"/>
          </rPr>
          <t>Wild dump is an uncontrolled / unmanged landfill. 
Its methane emissions are calculated in the same way as for a controlled dump / landfill without gas collection.</t>
        </r>
      </text>
    </comment>
    <comment ref="B15" authorId="1" shapeId="0" xr:uid="{00000000-0006-0000-0400-000005000000}">
      <text>
        <r>
          <rPr>
            <sz val="9"/>
            <color indexed="81"/>
            <rFont val="Tahoma"/>
            <family val="2"/>
          </rPr>
          <t>Simple biological stabilisation (BS) of MSW and depositing of the residue with lower methane emissions than without stabilisation.</t>
        </r>
      </text>
    </comment>
    <comment ref="B16" authorId="1" shapeId="0" xr:uid="{00000000-0006-0000-0400-000006000000}">
      <text>
        <r>
          <rPr>
            <sz val="9"/>
            <color indexed="81"/>
            <rFont val="Tahoma"/>
            <family val="2"/>
          </rPr>
          <t>Aerobic mechanical biological treatment (MBT): 
- Mechanical separation of dry recyclables, refuse derived fuels (RDF) for energy generation (thermal treatment and/or co-incineration in cement kiln), and impurities to thermal treatment.
- Aerobic biological stabilisation of separated organic fraction, the resulting output is typically deposited (with very low methane emissions compared to untreated MSW) or used as compost-like output (e.g. on degraded soils without further methane generation).</t>
        </r>
      </text>
    </comment>
    <comment ref="B17" authorId="1" shapeId="0" xr:uid="{F81C396A-3264-43BB-B7F8-E20D696FBBBE}">
      <text>
        <r>
          <rPr>
            <sz val="9"/>
            <color indexed="81"/>
            <rFont val="Tahoma"/>
            <family val="2"/>
          </rPr>
          <t>Anaerobic mechanical biological treatment (MBT): 
- Mechanical separation of dry recyclables, refuse derived fuels (RDF) for energy generation (thermal treatment and/or co-incineration in cement kiln).
- Anaerobic biological stabilisation (digestation) of separated organic fraction, generation and use of biogas, the resulting mass output is typically after-composted and deposited (with very low methane emissions compared to untreated MSW) or used as compost-like output (e.g. on degraded soils without further methane generation).</t>
        </r>
      </text>
    </comment>
    <comment ref="B18" authorId="1" shapeId="0" xr:uid="{00000000-0006-0000-0400-000007000000}">
      <text>
        <r>
          <rPr>
            <sz val="9"/>
            <color indexed="81"/>
            <rFont val="Tahoma"/>
            <family val="2"/>
          </rPr>
          <t>Mechanical biological stabilisation (MBS): 
- Mechanical separation of dry recyclables, impurities to thermal treatment.
- Biological stabilisation of the remaining fraction, use of resulting refuse derived fuels (RDF) for energy generation (thermal treatment  and/or co-incineration in cement kiln).</t>
        </r>
      </text>
    </comment>
    <comment ref="B19" authorId="1" shapeId="0" xr:uid="{00000000-0006-0000-0400-000008000000}">
      <text>
        <r>
          <rPr>
            <sz val="9"/>
            <color indexed="81"/>
            <rFont val="Tahoma"/>
            <family val="2"/>
          </rPr>
          <t>Incineration in a modern MSW incineration plant, which is in compliance with German / European emission standards (continous incineration, stocker); low impacts from flue gas emissions should be a prerequisite for incineration.
Additionally, the waste should be thoroughly tested for its qualification for the incineration. Self sustaining incineration usually requires a minimum calorific value of about 6 MJ/kg waste, and the ash content shall not be too high.</t>
        </r>
      </text>
    </comment>
    <comment ref="M28" authorId="0" shapeId="0" xr:uid="{F8F24FC7-D383-4CD7-B5D5-33BCC66E87E2}">
      <text>
        <r>
          <rPr>
            <sz val="9"/>
            <color indexed="81"/>
            <rFont val="Segoe UI"/>
            <family val="2"/>
          </rPr>
          <t xml:space="preserve">Source: IPCC Refinement 2019, Table 3.1:
Further explanation see worksheet "Factors"
</t>
        </r>
      </text>
    </comment>
    <comment ref="A29" authorId="0" shapeId="0" xr:uid="{41D1255C-64A8-46C4-B285-FC12B9EE45D9}">
      <text>
        <r>
          <rPr>
            <sz val="9"/>
            <color indexed="81"/>
            <rFont val="Segoe UI"/>
            <family val="2"/>
          </rPr>
          <t>IPCC 2019, V5, Ch3, page 3.13:
"While there is not any periodical monitoring or relevant information for management status of SWDS, it should be treated conservatively as poorly managed."</t>
        </r>
      </text>
    </comment>
    <comment ref="B40" authorId="0" shapeId="0" xr:uid="{7A006AA9-2E43-4B79-8211-3FA9FC470DEC}">
      <text>
        <r>
          <rPr>
            <sz val="9"/>
            <color indexed="81"/>
            <rFont val="Segoe UI"/>
            <family val="2"/>
          </rPr>
          <t xml:space="preserve">Source: IPCC Refinement 2019, Table 3.2:
Managed (but not covered with aerated material), unmanaged and uncategorised Solid Waste Disposal Site (SWDS) = 0
Managed covered with CH4 oxidising material (e.g. soil, compost) = 0.1 </t>
        </r>
      </text>
    </comment>
    <comment ref="B46" authorId="1" shapeId="0" xr:uid="{00000000-0006-0000-0400-000009000000}">
      <text>
        <r>
          <rPr>
            <sz val="9"/>
            <color indexed="81"/>
            <rFont val="Tahoma"/>
            <family val="2"/>
          </rPr>
          <t>"Efficiency of gas collection" refers to the average net efficiency and is the ratio of collected landfill gas related to the totally generated landfill gas.
Example: 
1 tonne of waste causes 200 m³ of landfill gas over a time period of 50 years. It is assumed that 60% of the landfill gas is generated during the first 10 years when the landfill is active and not covered. In this period it is assumed that 30% of the landfill gas generated can be captured. After 10 years the waste body is covered, and in the remaining 40 years more of the generated landfill gas can be captured. The efficiency of 80% is estimated. The resulting average net efficiency then is: 
200*(0.6*0.3 + 0.4*0.8)/200 = 0.5</t>
        </r>
      </text>
    </comment>
    <comment ref="C46" authorId="0" shapeId="0" xr:uid="{2B81A9EE-C730-496B-A699-BDD31A87E09B}">
      <text>
        <r>
          <rPr>
            <sz val="9"/>
            <color indexed="81"/>
            <rFont val="Segoe UI"/>
            <family val="2"/>
          </rPr>
          <t>IPCC Default: 
"When CH4 recovery is estimated on the basis of the number of SWDS with landfill gas recovery a default estimate of recovery efficiency would be 20 percent."</t>
        </r>
      </text>
    </comment>
    <comment ref="B58" authorId="0" shapeId="0" xr:uid="{487A75AC-5D9B-4A02-9385-8EA092861EAE}">
      <text>
        <r>
          <rPr>
            <sz val="9"/>
            <color indexed="81"/>
            <rFont val="Segoe UI"/>
            <family val="2"/>
          </rPr>
          <t>For example, flare efficiencies are explained in the CDM methodological tool "Project emissions from flaring" (CDM 2022): A default flare efficiency mentioned for open flares is 50%, and 90% for enclosed flares. 
Definitions for enclosed and open flares are:
Enclosed flare. Devices where the residual gas is burned in a vertical cylindrical or rectilinear enclosure, where the flame enclosure is more than 2 times the diameter of the enclosure. The device includes a burning system and a damper where air for the combustion reaction is admitted.
Open flare. Device where the residual gas is burned in an open air tip with or without any auxiliary fluid assistance or a flare with a vertical cylindrical or rectilinear enclosure, for which the flame enclosure is less than 2 times the diameter of the enclosure.</t>
        </r>
      </text>
    </comment>
    <comment ref="C65" authorId="1" shapeId="0" xr:uid="{00000000-0006-0000-0400-00000A000000}">
      <text>
        <r>
          <rPr>
            <sz val="9"/>
            <color indexed="81"/>
            <rFont val="Tahoma"/>
            <family val="2"/>
          </rPr>
          <t>An incineration plant produces electricity with a steam turbine. If only electricity is produced the maximum electrical efficiency is about 20% due to thermodynamic reasons. In case also heat is produced the electrical efficiency is lower. The degree of heat production depends on the possibility to sell the heat. In Germany MSWI plants have in average an electrical net efficiency of about 10% and a thermal efficiency of 30%. 
Default values:
It is estimated that in developing countries it is hardly possible to find a costumer for heat and that therefore only electricity is produced with an average electrical efficiency of 15%</t>
        </r>
      </text>
    </comment>
    <comment ref="C75" authorId="0" shapeId="0" xr:uid="{2E5453F1-CBC9-429E-B4F1-C031A07A95B2}">
      <text>
        <r>
          <rPr>
            <sz val="9"/>
            <color indexed="81"/>
            <rFont val="Segoe UI"/>
            <family val="2"/>
          </rPr>
          <t>The average output of German plants in operation (rounded values).
The values do not include the separation of dry recyclables other than metals as this is not typical for automatic sorting devices in MBTs (would need high tech sorting to derive marketable plastic, glass, paper fractions).
Additionally, no default values are given for compost-like output, which is used e.g. on degraded soils, as this is not allowed in Germany due to pollutants contained in mixed waste compost.
In emerging and developing countries marketable dry recyclable fractions may be derived from manual sorting, and the law on use of the compost-like output may be  different.</t>
        </r>
      </text>
    </comment>
    <comment ref="C88" authorId="0" shapeId="0" xr:uid="{72805C5E-3328-4FE3-88AB-317E2D278A51}">
      <text>
        <r>
          <rPr>
            <sz val="9"/>
            <color indexed="81"/>
            <rFont val="Segoe UI"/>
            <family val="2"/>
          </rPr>
          <t>Average values for Germany (Source Flamme et al. 2018)
The German default values may not be suitable for other countries. For orientation it is recommended to check on the interim results for the remaining residual waste on the worksheet “Recycling” as this is the waste input to the MBT. The fossil carbon content and net calorific value of an RDF fraction produced from it are usually both somewhat higher. 
Typically, net calorific value and fossil carbon content correlate, and numbers are similar. For example, estimated values for Indian cities are 12.5 MJ/kg and 12.5% fossil carbon for high quality RDF and 11 MJ/kg and 11% fossil carbon for RDF with mean quality (Vogt et al. 2019, Table 10)</t>
        </r>
      </text>
    </comment>
    <comment ref="C93" authorId="0" shapeId="0" xr:uid="{864AF69A-2947-4D37-8D7B-71D27564BD49}">
      <text>
        <r>
          <rPr>
            <sz val="9"/>
            <color indexed="81"/>
            <rFont val="Segoe UI"/>
            <family val="2"/>
          </rPr>
          <t>The average output of German plants in operation (rounded values).
The values do not include the separation of dry recyclables other than metals as this is not typical for automatic sorting devices in MBTs (would need high tech sorting to derive marketable plastic, glass, paper fractions).
Additionally, no default values are given for compost-like output, which is used e.g. on degraded soils, as this is not allowed in Germany due to pollutants contained in mixed waste compost.
In emerging and developing countries marketable dry recyclable fractions may be derived from manual sorting, and the law on use of the compost-like output may be  different.</t>
        </r>
      </text>
    </comment>
    <comment ref="C111" authorId="0" shapeId="0" xr:uid="{3CF9F5E5-5384-4CC0-AB28-0A4C65EEDF03}">
      <text>
        <r>
          <rPr>
            <sz val="9"/>
            <color indexed="81"/>
            <rFont val="Segoe UI"/>
            <family val="2"/>
          </rPr>
          <t>Average values for Germany (Source Flamme et al. 2018)
The German default values may not be suitable for other countries. For orientation it is recommended to check on the interim results for the remaining residual waste on the worksheet “Recycling” as this is the waste input to the MBT. The fossil carbon content and net calorific value of an RDF fraction produced from it are usually both somewhat higher. 
Typically, net calorific value and fossil carbon content correlate, and numbers are similar. For example, estimated values for Indian cities are 12.5 MJ/kg and 12.5% fossil carbon for high quality RDF and 11 MJ/kg and 11% fossil carbon for RDF with mean quality (Vogt et al. 2019, Table 10)</t>
        </r>
      </text>
    </comment>
    <comment ref="C116" authorId="0" shapeId="0" xr:uid="{4B7282C1-667B-4D87-B54F-2D8B1D1265AC}">
      <text>
        <r>
          <rPr>
            <sz val="9"/>
            <color indexed="81"/>
            <rFont val="Segoe UI"/>
            <family val="2"/>
          </rPr>
          <t>The average output of German plants in operation (rounded values).
The values do not include the separation of dry recyclables other than metals as this is not typical for automatic sorting devices in MBTs (would need high tech sorting to derive marketable plastic, glass, paper fractions).
Additionally, no default values are given for compost-like output, which is used e.g. on degraded soils, as this is not allowed in Germany due to pollutants contained in mixed waste compost.
In emerging and developing countries marketable dry recyclable fractions may be derived from manual sorting, and the law on use of the compost-like output may be  different.</t>
        </r>
      </text>
    </comment>
    <comment ref="C129" authorId="0" shapeId="0" xr:uid="{F7E27EEA-CF2A-4B61-A993-AB42EB2E9349}">
      <text>
        <r>
          <rPr>
            <sz val="9"/>
            <color indexed="81"/>
            <rFont val="Segoe UI"/>
            <family val="2"/>
          </rPr>
          <t>Average values for Germany (Source Flamme et al. 2018)
The German default values may not be suitable for other countries. For orientation it is recommended to check on the interim results for the remaining residual waste on the worksheet “Recycling” as this is the waste input to the MBS. The fossil carbon content and net calorific value of an RDF fraction produced from it are usually both somewhat higher. 
Typically, net calorific value and fossil carbon content correlate, and numbers are similar. For example, estimated values for Indian cities are 12.5 MJ/kg and 12.5% fossil carbon for high quality RDF and 11 MJ/kg and 11% fossil carbon for RDF with mean quality (Vogt et al. 2019, Table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Regine Vogt</author>
    <author>Regine</author>
  </authors>
  <commentList>
    <comment ref="C12" authorId="0" shapeId="0" xr:uid="{25483513-B682-485C-B9D2-8DE7EEC0B6A0}">
      <text>
        <r>
          <rPr>
            <sz val="9"/>
            <color indexed="81"/>
            <rFont val="Segoe UI"/>
            <family val="2"/>
          </rPr>
          <t xml:space="preserve">no refinement in IPCC 2019
</t>
        </r>
      </text>
    </comment>
    <comment ref="U17" authorId="0" shapeId="0" xr:uid="{FFD3900A-5239-4658-8FAD-A113C3725837}">
      <text>
        <r>
          <rPr>
            <sz val="9"/>
            <color indexed="81"/>
            <rFont val="Segoe UI"/>
            <family val="2"/>
          </rPr>
          <t>Products were considered to be one third immature compost and two third mature compost. Emission savings potential are:
- mature compost about 300 g CO2e/kg compost
- immature compost about 120 g CO2e/kg compost
While immature compost is mainly used in agriculture substituting mineral fertilizer (N,P,K), mature compost is partly used for horticulture and as substrate substituting peat.
The emission savings potential is also used for matured digestion compost.</t>
        </r>
      </text>
    </comment>
    <comment ref="T25" authorId="0" shapeId="0" xr:uid="{322DF8B5-9BAF-4029-9CCC-8E0838CC08D1}">
      <text>
        <r>
          <rPr>
            <u/>
            <sz val="9"/>
            <color indexed="81"/>
            <rFont val="Segoe UI"/>
            <family val="2"/>
          </rPr>
          <t>50% ratio open composting</t>
        </r>
        <r>
          <rPr>
            <sz val="9"/>
            <color indexed="81"/>
            <rFont val="Segoe UI"/>
            <family val="2"/>
          </rPr>
          <t xml:space="preserve">
Open composting is managed with diesel-engined machinery and the diesel demand is calculated as 1.5 l/t organic waste. 
</t>
        </r>
      </text>
    </comment>
    <comment ref="T26" authorId="0" shapeId="0" xr:uid="{6E65C75F-6955-4498-B785-A8FA4F22F779}">
      <text>
        <r>
          <rPr>
            <u/>
            <sz val="9"/>
            <color indexed="81"/>
            <rFont val="Segoe UI"/>
            <family val="2"/>
          </rPr>
          <t>50% ratio closed composting</t>
        </r>
        <r>
          <rPr>
            <sz val="9"/>
            <color indexed="81"/>
            <rFont val="Segoe UI"/>
            <family val="2"/>
          </rPr>
          <t xml:space="preserve">
The average electricity demand of closed composting is calculated as 30 kWh/t organic waste.</t>
        </r>
      </text>
    </comment>
    <comment ref="T28" authorId="0" shapeId="0" xr:uid="{00C79670-E0BE-4D1D-A834-8D755CFEDEC1}">
      <text>
        <r>
          <rPr>
            <sz val="9"/>
            <color indexed="81"/>
            <rFont val="Segoe UI"/>
            <family val="2"/>
          </rPr>
          <t>Diesel demand compost application
Average value 0.3 l/t compost</t>
        </r>
      </text>
    </comment>
    <comment ref="S29" authorId="0" shapeId="0" xr:uid="{45F7E549-B17C-4C4D-9AB3-6932CD5772C3}">
      <text>
        <r>
          <rPr>
            <sz val="9"/>
            <color indexed="81"/>
            <rFont val="Segoe UI"/>
            <family val="2"/>
          </rPr>
          <t>IPCC 2019, V4 Ch11 Table 11.1:
EF for N additions from synthetic fertilisers, organic amendments and crop residues, and N mineralised from mineral soil as a result of loss of soil carbon 
Default value 0.010 kg N2O–N/kg N</t>
        </r>
      </text>
    </comment>
    <comment ref="T29" authorId="0" shapeId="0" xr:uid="{6A135EE0-73BB-4ECB-B503-FC4495FB63E9}">
      <text>
        <r>
          <rPr>
            <sz val="9"/>
            <color indexed="81"/>
            <rFont val="Segoe UI"/>
            <family val="2"/>
          </rPr>
          <t>Average data (rounded values) 
compost generation: 0.4 kg/kg organic waste composted
N content compost: 1.4% dry waste
Dry matter compost:  40%
N2O-N to N2O 44/28</t>
        </r>
      </text>
    </comment>
    <comment ref="U33" authorId="0" shapeId="0" xr:uid="{54ED94F4-3FF5-42A8-B3A1-E5A2FA16360B}">
      <text>
        <r>
          <rPr>
            <sz val="9"/>
            <color indexed="81"/>
            <rFont val="Segoe UI"/>
            <family val="2"/>
          </rPr>
          <t>based on avergae values AD plants with CHP
- electrical efficiency 35%, thereof 20% own consumption
- thermal efficiency 43%, thereof 25% own consumption</t>
        </r>
      </text>
    </comment>
    <comment ref="S34" authorId="0" shapeId="0" xr:uid="{1729B0B7-A447-48A9-84B9-C4A4DAFD3B9A}">
      <text>
        <r>
          <rPr>
            <sz val="9"/>
            <color indexed="81"/>
            <rFont val="Segoe UI"/>
            <family val="2"/>
          </rPr>
          <t>A combined heat and power (CHP) plant generates electricity and heat. Typical efficiencies for electricity are between 30% and 40% depending on the electrical power (higher values very large motors only).
The net efficiency for heat depends on the possibility to sell the heat. The heat efficiency corresponding to the default electrical efficiency is about 43%. Partly, heat is needed for the AD plant.
Default values:
It is estimated that in developing countries it is hardly possible to find a costumer for heat and that therefore only electricity is produced with an average electrical efficiency of 35%</t>
        </r>
      </text>
    </comment>
    <comment ref="S35" authorId="0" shapeId="0" xr:uid="{D93066D8-94E7-48E4-A6D5-9A0FA0F0654A}">
      <text>
        <r>
          <rPr>
            <sz val="9"/>
            <color indexed="81"/>
            <rFont val="Segoe UI"/>
            <family val="2"/>
          </rPr>
          <t xml:space="preserve">Biomethane is generated from biogas by separating the CO2 content. This can be done by different technologies: operating under pressure, using chemical agents or membrane technology. Additional energy demand and methane losses from further processing are considered. 
For the emission savings potential it is assumend that biomethane substitutes natural gas by energy content </t>
        </r>
      </text>
    </comment>
    <comment ref="S36" authorId="0" shapeId="0" xr:uid="{DF649DD0-6AEE-473F-8572-282F51F91A29}">
      <text>
        <r>
          <rPr>
            <sz val="9"/>
            <color indexed="81"/>
            <rFont val="Segoe UI"/>
            <family val="2"/>
          </rPr>
          <t>=electricity generated minus electricity demand AD plant;
substitutes conventional electricity generation</t>
        </r>
      </text>
    </comment>
    <comment ref="T36" authorId="1" shapeId="0" xr:uid="{750886E7-BBAC-44F6-A684-675CD6416959}">
      <text>
        <r>
          <rPr>
            <sz val="9"/>
            <color indexed="81"/>
            <rFont val="Tahoma"/>
            <family val="2"/>
          </rPr>
          <t xml:space="preserve">Typical efficiencies for electricity are between 30% and 40% depending on the electrical power (higher values very large motors &gt; 1000 kWel only).
</t>
        </r>
      </text>
    </comment>
    <comment ref="T37" authorId="0" shapeId="0" xr:uid="{B5543195-8853-4CFC-ADB6-FDEA8C734421}">
      <text>
        <r>
          <rPr>
            <sz val="9"/>
            <color indexed="81"/>
            <rFont val="Segoe UI"/>
            <family val="2"/>
          </rPr>
          <t xml:space="preserve">Average value for presurised treatment (e.g. pressure swing adsorption, PSA).
Distribution losses gas network and compression gas station neglected are low </t>
        </r>
      </text>
    </comment>
    <comment ref="V37" authorId="0" shapeId="0" xr:uid="{DA3A0868-BC2C-4F47-A159-D6CB43934106}">
      <text>
        <r>
          <rPr>
            <sz val="9"/>
            <color indexed="81"/>
            <rFont val="Segoe UI"/>
            <family val="2"/>
          </rPr>
          <t>0.6 as calculation default for methane content in biogas</t>
        </r>
      </text>
    </comment>
    <comment ref="T38" authorId="0" shapeId="0" xr:uid="{B4C2BC3C-32BA-4138-B9C2-A254A3979EAE}">
      <text>
        <r>
          <rPr>
            <sz val="9"/>
            <color indexed="81"/>
            <rFont val="Segoe UI"/>
            <family val="2"/>
          </rPr>
          <t xml:space="preserve">Methane losses from CO2 separation depend on the technology, and can be between 0.1% and about 12% of the methane input. Higher values  occur primarily in pressurized processes. A methane loss of 5% is assumed as average value. </t>
        </r>
      </text>
    </comment>
    <comment ref="S45" authorId="1" shapeId="0" xr:uid="{E992F34C-BC4D-49DE-A3B9-89C32BC89817}">
      <text>
        <r>
          <rPr>
            <sz val="9"/>
            <color indexed="81"/>
            <rFont val="Tahoma"/>
            <family val="2"/>
          </rPr>
          <t xml:space="preserve">CH4 and N2O emissions from open burning are often not considered due to their large uncertainty. Although in IPCC 2019, V5, Ch5 an emission values is suggested for CH4 (for N2O in IPCC 2006 only), in this context open burning is calculated as complete oxidation.
Against the background of the uncertainty of quantity of open burning and due to the fact that the incomplete burned quantity will decompose (similar to scattered waste) over time this seems  an insignificant simplification. 
</t>
        </r>
        <r>
          <rPr>
            <i/>
            <sz val="9"/>
            <color indexed="81"/>
            <rFont val="Tahoma"/>
            <family val="2"/>
          </rPr>
          <t xml:space="preserve">IPCC 2019, V5, Ch5, page 5.13: "For open burning of waste, a CH4 emission factor of 6500 g / t MSW wet weight has been reported (EIIP, 2001). This factor should be applied as a default, unless another CH4 emission factor seems more appropriate."
</t>
        </r>
      </text>
    </comment>
    <comment ref="T64" authorId="1" shapeId="0" xr:uid="{00000000-0006-0000-0C00-000009000000}">
      <text>
        <r>
          <rPr>
            <sz val="9"/>
            <color indexed="81"/>
            <rFont val="Tahoma"/>
            <family val="2"/>
          </rPr>
          <t>Source IFEU based on Umberto 5.5 2007</t>
        </r>
      </text>
    </comment>
    <comment ref="T65" authorId="1" shapeId="0" xr:uid="{00000000-0006-0000-0C00-00000A000000}">
      <text>
        <r>
          <rPr>
            <sz val="9"/>
            <color indexed="81"/>
            <rFont val="Tahoma"/>
            <family val="2"/>
          </rPr>
          <t>Source IFEU based on Umberto 5.5 2007</t>
        </r>
      </text>
    </comment>
    <comment ref="T66" authorId="1" shapeId="0" xr:uid="{E023BF51-2EC0-497C-95E5-F8D6A6FE7997}">
      <text>
        <r>
          <rPr>
            <sz val="9"/>
            <color indexed="81"/>
            <rFont val="Tahoma"/>
            <family val="2"/>
          </rPr>
          <t>Source IFEU based on Umberto 5.5 2007</t>
        </r>
      </text>
    </comment>
    <comment ref="S71" authorId="0" shapeId="0" xr:uid="{2DD9DED9-4F3F-4DCC-A744-033902633C6F}">
      <text>
        <r>
          <rPr>
            <sz val="9"/>
            <color indexed="81"/>
            <rFont val="Segoe UI"/>
            <family val="2"/>
          </rPr>
          <t>=electricity generated minus electricity demand AD plant;
substitutes conventional electricity generation</t>
        </r>
      </text>
    </comment>
    <comment ref="T71" authorId="1" shapeId="0" xr:uid="{6D62CC04-F8CE-45F9-B64E-9938F81C8CED}">
      <text>
        <r>
          <rPr>
            <sz val="9"/>
            <color indexed="81"/>
            <rFont val="Tahoma"/>
            <family val="2"/>
          </rPr>
          <t xml:space="preserve">Typical efficiencies for electricity are between 30% and 40% depending on the electrical power (higher values very large motors &gt; 1000 kWel only).
</t>
        </r>
      </text>
    </comment>
    <comment ref="T72" authorId="0" shapeId="0" xr:uid="{6FEE514B-6925-48D3-9B9C-9F8D375DB027}">
      <text>
        <r>
          <rPr>
            <sz val="9"/>
            <color indexed="81"/>
            <rFont val="Segoe UI"/>
            <family val="2"/>
          </rPr>
          <t xml:space="preserve">Average value for presurised treatment (e.g. pressure swing adsorption, PSA).
Distribution losses gas network and compression gas station neglected are low </t>
        </r>
      </text>
    </comment>
    <comment ref="T73" authorId="0" shapeId="0" xr:uid="{174E0824-DED3-43C1-82F8-8E152EE68F2B}">
      <text>
        <r>
          <rPr>
            <sz val="9"/>
            <color indexed="81"/>
            <rFont val="Segoe UI"/>
            <family val="2"/>
          </rPr>
          <t xml:space="preserve">Methane losses from CO2 separation depend on the technology, and can be between 0.1% and about 12% of the methane input. Higher values  occur primarily in pressurized processes. A methane loss of 5% is assumed as average value. </t>
        </r>
      </text>
    </comment>
    <comment ref="V78" authorId="1" shapeId="0" xr:uid="{00000000-0006-0000-0C00-00000C000000}">
      <text>
        <r>
          <rPr>
            <sz val="9"/>
            <color indexed="81"/>
            <rFont val="Tahoma"/>
            <family val="2"/>
          </rPr>
          <t xml:space="preserve">complete oxidation assumed as simplification for technological advanced incineration plant </t>
        </r>
      </text>
    </comment>
    <comment ref="S80" authorId="0" shapeId="0" xr:uid="{62DC4514-C2FF-40B7-94D9-5360F38B2186}">
      <text>
        <r>
          <rPr>
            <sz val="9"/>
            <color indexed="81"/>
            <rFont val="Segoe UI"/>
            <family val="2"/>
          </rPr>
          <t xml:space="preserve">Source: Dehoust et al. (2010) 
specific emissions of thermal treatment through the use of auxiliary and operating materials such as heating oil for auxiliary firing and substances such as hydrated lime, quicklime, stove coke, ammonia for flue gas cleaning. 
</t>
        </r>
      </text>
    </comment>
    <comment ref="T88" authorId="0" shapeId="0" xr:uid="{56DDAE35-D147-4B9E-A855-40BC981F249B}">
      <text>
        <r>
          <rPr>
            <sz val="9"/>
            <color indexed="81"/>
            <rFont val="Segoe UI"/>
            <family val="2"/>
          </rPr>
          <t xml:space="preserve">Source ifeu, estimation similar to demand for simple open composting (1.5 l/t organic waste)
</t>
        </r>
      </text>
    </comment>
    <comment ref="T89" authorId="1" shapeId="0" xr:uid="{00000000-0006-0000-0C00-00000E000000}">
      <text>
        <r>
          <rPr>
            <sz val="9"/>
            <color indexed="81"/>
            <rFont val="Tahoma"/>
            <family val="2"/>
          </rPr>
          <t>Source IFEU, estimation same electricity demand as controlled landfill</t>
        </r>
      </text>
    </comment>
    <comment ref="S90" authorId="1" shapeId="0" xr:uid="{00000000-0006-0000-0C00-00000F000000}">
      <text>
        <r>
          <rPr>
            <sz val="9"/>
            <color indexed="81"/>
            <rFont val="Tahoma"/>
            <family val="2"/>
          </rPr>
          <t>biodegradation rate for simple stabilisation 30% -&gt; 70% of the original carbon content remain in the stabilised product</t>
        </r>
      </text>
    </comment>
    <comment ref="S91" authorId="1" shapeId="0" xr:uid="{00000000-0006-0000-0C00-000010000000}">
      <text>
        <r>
          <rPr>
            <sz val="9"/>
            <color indexed="81"/>
            <rFont val="Tahoma"/>
            <family val="2"/>
          </rPr>
          <t>Estimation only 30% instead of 50% for untreated waste due to the simple biological stabilisation</t>
        </r>
      </text>
    </comment>
    <comment ref="S92" authorId="0" shapeId="0" xr:uid="{FE6D4145-4632-45E6-978F-B4E0526325C3}">
      <text>
        <r>
          <rPr>
            <sz val="9"/>
            <color indexed="81"/>
            <rFont val="Segoe UI"/>
            <family val="2"/>
          </rPr>
          <t xml:space="preserve">Assumption managed landfill without gas collection (low methane generation potential for biologically stabilised material), MCF=1 
</t>
        </r>
      </text>
    </comment>
    <comment ref="T97" authorId="0" shapeId="0" xr:uid="{52871A11-45A5-4591-91C5-83BB22E0857A}">
      <text>
        <r>
          <rPr>
            <sz val="9"/>
            <color indexed="81"/>
            <rFont val="Segoe UI"/>
            <family val="2"/>
          </rPr>
          <t>average value German MBTs</t>
        </r>
      </text>
    </comment>
    <comment ref="T98" authorId="0" shapeId="0" xr:uid="{9B475882-01BA-4124-B3E0-3C22854A5B48}">
      <text>
        <r>
          <rPr>
            <sz val="9"/>
            <color indexed="81"/>
            <rFont val="Segoe UI"/>
            <family val="2"/>
          </rPr>
          <t>average value areobic MBTs Germany</t>
        </r>
      </text>
    </comment>
    <comment ref="S100" authorId="1" shapeId="0" xr:uid="{D222F171-1EB9-464E-A4AE-FC7740EBAE75}">
      <text>
        <r>
          <rPr>
            <sz val="9"/>
            <color indexed="81"/>
            <rFont val="Tahoma"/>
            <family val="2"/>
          </rPr>
          <t>Incineration impurities MSWI plant Fossil carbon content approx. 9%</t>
        </r>
      </text>
    </comment>
    <comment ref="S105" authorId="1" shapeId="0" xr:uid="{E4AC8614-70C6-4AA8-9692-44BFEF0EB9FC}">
      <text>
        <r>
          <rPr>
            <sz val="9"/>
            <color indexed="81"/>
            <rFont val="Tahoma"/>
            <family val="2"/>
          </rPr>
          <t>Benefit from incineration of impurities in MSWI plant; calculated with calorific value = 9200 kJ/kg
electrical net efficiency 10%, thermal efficiency 30%</t>
        </r>
      </text>
    </comment>
    <comment ref="S106" authorId="1" shapeId="0" xr:uid="{21E02278-DE0C-41FB-B653-2DE7CFD2AF6F}">
      <text>
        <r>
          <rPr>
            <sz val="9"/>
            <color indexed="81"/>
            <rFont val="Tahoma"/>
            <family val="2"/>
          </rPr>
          <t>Benefit from RDF thermal treatment, WtE plant electrical net efficiency 10%, thermal efficiency 30%</t>
        </r>
      </text>
    </comment>
    <comment ref="S107" authorId="1" shapeId="0" xr:uid="{F2EC6875-1B09-448D-ABE0-1E6963313762}">
      <text>
        <r>
          <rPr>
            <sz val="9"/>
            <color indexed="81"/>
            <rFont val="Tahoma"/>
            <family val="2"/>
          </rPr>
          <t>Benefit from co-incineration RDF in cement kiln; substitution coal</t>
        </r>
      </text>
    </comment>
    <comment ref="T114" authorId="0" shapeId="0" xr:uid="{297AEE38-1F06-4624-8188-9D7051A3C274}">
      <text>
        <r>
          <rPr>
            <sz val="9"/>
            <color indexed="81"/>
            <rFont val="Segoe UI"/>
            <family val="2"/>
          </rPr>
          <t>average value German MBTs</t>
        </r>
      </text>
    </comment>
    <comment ref="T115" authorId="0" shapeId="0" xr:uid="{96D4F3DF-C81A-4CDA-8D4A-38A2FCB89D79}">
      <text>
        <r>
          <rPr>
            <sz val="9"/>
            <color indexed="81"/>
            <rFont val="Segoe UI"/>
            <family val="2"/>
          </rPr>
          <t>average value areobic MBTs Germany</t>
        </r>
      </text>
    </comment>
    <comment ref="S117" authorId="1" shapeId="0" xr:uid="{2DBB1ED9-67C2-4FF4-8E50-48B922DF1912}">
      <text>
        <r>
          <rPr>
            <sz val="9"/>
            <color indexed="81"/>
            <rFont val="Tahoma"/>
            <family val="2"/>
          </rPr>
          <t>Incineration impurities MSWI plant Fossil carbon content approx. 9%</t>
        </r>
      </text>
    </comment>
    <comment ref="S122" authorId="1" shapeId="0" xr:uid="{20D33728-90BA-4DC3-B47F-C249F830F75F}">
      <text>
        <r>
          <rPr>
            <sz val="9"/>
            <color indexed="81"/>
            <rFont val="Tahoma"/>
            <family val="2"/>
          </rPr>
          <t>Benefit from incineration of impurities in MSWI plant; calculated with calorific value = 9200 kJ/kg
electrical net efficiency 10%, thermal efficiency 30%</t>
        </r>
      </text>
    </comment>
    <comment ref="S123" authorId="1" shapeId="0" xr:uid="{2BAE3FAC-2019-45C8-9636-677DD6AA8A6F}">
      <text>
        <r>
          <rPr>
            <sz val="9"/>
            <color indexed="81"/>
            <rFont val="Tahoma"/>
            <family val="2"/>
          </rPr>
          <t>Benefit from RDF thermal treatment, WtE plant electrical net efficiency 10%, thermal efficiency 30%</t>
        </r>
      </text>
    </comment>
    <comment ref="S124" authorId="1" shapeId="0" xr:uid="{42642EC5-CEEE-46C9-AE98-DFC78BB91FFD}">
      <text>
        <r>
          <rPr>
            <sz val="9"/>
            <color indexed="81"/>
            <rFont val="Tahoma"/>
            <family val="2"/>
          </rPr>
          <t>Benefit from co-incineration RDF in cement kiln; substitution coal</t>
        </r>
      </text>
    </comment>
    <comment ref="T126" authorId="0" shapeId="0" xr:uid="{C89CBABB-0690-4BAD-8573-8AE178060717}">
      <text>
        <r>
          <rPr>
            <sz val="9"/>
            <color indexed="81"/>
            <rFont val="Segoe UI"/>
            <family val="2"/>
          </rPr>
          <t xml:space="preserve">average CH4 yield for German MBT anaerobic (biogas yield 40.57 m³/t total Input; CH4 content 60 Vol%), correlating to 5% of mass input
</t>
        </r>
      </text>
    </comment>
    <comment ref="S129" authorId="0" shapeId="0" xr:uid="{8D9F099D-4B5C-4840-91F1-71D83416E49D}">
      <text>
        <r>
          <rPr>
            <sz val="9"/>
            <color indexed="81"/>
            <rFont val="Segoe UI"/>
            <family val="2"/>
          </rPr>
          <t>=electricity generated minus electricity demand AD plant;
substitutes conventional electricity generation</t>
        </r>
      </text>
    </comment>
    <comment ref="T129" authorId="1" shapeId="0" xr:uid="{0DE7F1C8-A590-4420-8BE2-0F80C0366633}">
      <text>
        <r>
          <rPr>
            <sz val="9"/>
            <color indexed="81"/>
            <rFont val="Tahoma"/>
            <family val="2"/>
          </rPr>
          <t xml:space="preserve">Typical efficiencies for electricity are between 30% and 40% depending on the electrical power (higher values very large motors &gt; 1000 kWel only).
</t>
        </r>
      </text>
    </comment>
    <comment ref="T130" authorId="0" shapeId="0" xr:uid="{7179C48E-494F-46DB-8034-FDEEEB27ED2D}">
      <text>
        <r>
          <rPr>
            <sz val="9"/>
            <color indexed="81"/>
            <rFont val="Segoe UI"/>
            <family val="2"/>
          </rPr>
          <t xml:space="preserve">Average value for presurised treatment (e.g. pressure swing adsorption, PSA).
Distribution losses gas network and compression gas station neglected are low </t>
        </r>
      </text>
    </comment>
    <comment ref="T131" authorId="0" shapeId="0" xr:uid="{207F5339-160B-40B8-8177-F1E851540B13}">
      <text>
        <r>
          <rPr>
            <sz val="9"/>
            <color indexed="81"/>
            <rFont val="Segoe UI"/>
            <family val="2"/>
          </rPr>
          <t xml:space="preserve">Methane losses from CO2 separation depend on the technology, and can be between 0.1% and about 12% of the methane input. Higher values  occur primarily in pressurized processes. A methane loss of 5% is assumed as average value. </t>
        </r>
      </text>
    </comment>
    <comment ref="T138" authorId="0" shapeId="0" xr:uid="{C51E5BBE-92D0-428C-8C06-7C4F1F1EAB40}">
      <text>
        <r>
          <rPr>
            <sz val="9"/>
            <color indexed="81"/>
            <rFont val="Segoe UI"/>
            <family val="2"/>
          </rPr>
          <t>average value German MBTs</t>
        </r>
      </text>
    </comment>
    <comment ref="T139" authorId="0" shapeId="0" xr:uid="{852316B0-0184-485F-BDF1-82244E5A11E7}">
      <text>
        <r>
          <rPr>
            <sz val="9"/>
            <color indexed="81"/>
            <rFont val="Segoe UI"/>
            <family val="2"/>
          </rPr>
          <t>average value areobic MBTs Germany</t>
        </r>
      </text>
    </comment>
    <comment ref="S141" authorId="1" shapeId="0" xr:uid="{0F5CA1BA-15F3-45EC-87CC-E30E54E00A5F}">
      <text>
        <r>
          <rPr>
            <sz val="9"/>
            <color indexed="81"/>
            <rFont val="Tahoma"/>
            <family val="2"/>
          </rPr>
          <t>Incineration impurities MSWI plant Fossil carbon content approx. 9%</t>
        </r>
      </text>
    </comment>
    <comment ref="S146" authorId="1" shapeId="0" xr:uid="{2E75F160-DD15-428A-9F07-4C71A3E3BD4B}">
      <text>
        <r>
          <rPr>
            <sz val="9"/>
            <color indexed="81"/>
            <rFont val="Tahoma"/>
            <family val="2"/>
          </rPr>
          <t>Benefit from incineration of impurities in MSWI plant; calculated with calorific value = 9200 kJ/kg
electrical net efficiency 10%, thermal efficiency 30%</t>
        </r>
      </text>
    </comment>
    <comment ref="S147" authorId="1" shapeId="0" xr:uid="{2CEF59BE-51F9-49E1-A4E3-50A206903A4A}">
      <text>
        <r>
          <rPr>
            <sz val="9"/>
            <color indexed="81"/>
            <rFont val="Tahoma"/>
            <family val="2"/>
          </rPr>
          <t>Benefit from RDF thermal treatment, WtE plant electrical net efficiency 10%, thermal efficiency 30%</t>
        </r>
      </text>
    </comment>
    <comment ref="S148" authorId="1" shapeId="0" xr:uid="{AD9F5ABE-B469-49E3-9C8D-B59D002B937A}">
      <text>
        <r>
          <rPr>
            <sz val="9"/>
            <color indexed="81"/>
            <rFont val="Tahoma"/>
            <family val="2"/>
          </rPr>
          <t>Benefit from co-incineration RDF in cement kiln; substitution coal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Regine Vogt</author>
    <author>Noora Harju</author>
  </authors>
  <commentList>
    <comment ref="B32" authorId="0" shapeId="0" xr:uid="{4A085C08-C4AB-438B-81AB-268A3D6FF6D7}">
      <text>
        <r>
          <rPr>
            <sz val="9"/>
            <color indexed="81"/>
            <rFont val="Segoe UI"/>
            <family val="2"/>
          </rPr>
          <t>light fuel oil</t>
        </r>
      </text>
    </comment>
    <comment ref="F32" authorId="1" shapeId="0" xr:uid="{867A66AF-AE59-4235-97DD-E47317A69F9D}">
      <text>
        <r>
          <rPr>
            <sz val="9"/>
            <color indexed="81"/>
            <rFont val="Segoe UI"/>
            <family val="2"/>
          </rPr>
          <t>Commercial/intitutional: 10
Residental and agriculture/forestry/fishing/fishing farms: 10</t>
        </r>
      </text>
    </comment>
    <comment ref="G32" authorId="1" shapeId="0" xr:uid="{416C8F6B-8391-4662-8B58-1D414A3A22C9}">
      <text>
        <r>
          <rPr>
            <sz val="9"/>
            <color indexed="81"/>
            <rFont val="Segoe UI"/>
            <family val="2"/>
          </rPr>
          <t>Commercial/intitutional: 3
Residental and agriculture/forestry/fishing/fishing farms: 3</t>
        </r>
      </text>
    </comment>
    <comment ref="H32" authorId="1" shapeId="0" xr:uid="{7C6F22F2-03DE-4A46-9585-CAD75D0D53E8}">
      <text>
        <r>
          <rPr>
            <sz val="9"/>
            <color indexed="81"/>
            <rFont val="Segoe UI"/>
            <family val="2"/>
          </rPr>
          <t>Commercial/intitutional: 30
Residental and agriculture/forestry/fishing/fishing farms: 30</t>
        </r>
      </text>
    </comment>
    <comment ref="F33" authorId="1" shapeId="0" xr:uid="{5322CF1B-2C59-44A6-9760-429E92E9BAC1}">
      <text>
        <r>
          <rPr>
            <sz val="9"/>
            <color indexed="81"/>
            <rFont val="Segoe UI"/>
            <family val="2"/>
          </rPr>
          <t>Manufacturing industries &amp; Construction: 10
Commercial/institutional: 10
Residental and agriculture/forestry/fishing/fishing farms: 300</t>
        </r>
      </text>
    </comment>
    <comment ref="G33" authorId="1" shapeId="0" xr:uid="{942A23E4-3141-4327-A2AE-0382C7D85845}">
      <text>
        <r>
          <rPr>
            <sz val="9"/>
            <color indexed="81"/>
            <rFont val="Segoe UI"/>
            <family val="2"/>
          </rPr>
          <t>Manufacturing industries and construction: 3
Commercial/insitutional: 3
Residental and agriculture/forestry/fishing/fishing farms: 100</t>
        </r>
      </text>
    </comment>
    <comment ref="H33" authorId="1" shapeId="0" xr:uid="{312CC18E-20C8-4456-8D9F-64361DCA1474}">
      <text>
        <r>
          <rPr>
            <sz val="9"/>
            <color indexed="81"/>
            <rFont val="Segoe UI"/>
            <family val="2"/>
          </rPr>
          <t>Manufacturing industries and construction: 30
Commercial/intitutional: 30
Residental and agriculture/forestry/fishing/fishing farms: 900</t>
        </r>
      </text>
    </comment>
    <comment ref="F34" authorId="1" shapeId="0" xr:uid="{09A4D8F7-CC10-44CE-8313-271DEE19BBD1}">
      <text>
        <r>
          <rPr>
            <sz val="9"/>
            <color indexed="81"/>
            <rFont val="Segoe UI"/>
            <family val="2"/>
          </rPr>
          <t>Manufacturing industries &amp; Construction: 10
Commercial/institutional: 10
Residental and agriculture/forestry/fishing/fishing farms: 300</t>
        </r>
      </text>
    </comment>
    <comment ref="G34" authorId="1" shapeId="0" xr:uid="{EA7F0988-575B-4132-A795-0A81801D4CD7}">
      <text>
        <r>
          <rPr>
            <sz val="9"/>
            <color indexed="81"/>
            <rFont val="Segoe UI"/>
            <family val="2"/>
          </rPr>
          <t>Manufacturing industries and construction: 3
Commercial/insitutional: 3
Residental and agriculture/forestry/fishing/fishing farms: 100</t>
        </r>
      </text>
    </comment>
    <comment ref="H34" authorId="1" shapeId="0" xr:uid="{5F1445A5-E81B-4D41-AFAF-6F9EA0591E35}">
      <text>
        <r>
          <rPr>
            <sz val="9"/>
            <color indexed="81"/>
            <rFont val="Segoe UI"/>
            <family val="2"/>
          </rPr>
          <t>Manufacturing industries and construction: 30
Commercial/intitutional: 30
Residental and agriculture/forestry/fishing/fishing farms: 900</t>
        </r>
      </text>
    </comment>
    <comment ref="F35" authorId="1" shapeId="0" xr:uid="{4F252995-6435-4787-9875-03D9A5C57E64}">
      <text>
        <r>
          <rPr>
            <sz val="9"/>
            <color indexed="81"/>
            <rFont val="Segoe UI"/>
            <family val="2"/>
          </rPr>
          <t>Manufacturing industries &amp; Construction: 10
Commercial/institutional: 10
Residental and agriculture/forestry/fishing/fishing farms: 300</t>
        </r>
      </text>
    </comment>
    <comment ref="G35" authorId="1" shapeId="0" xr:uid="{BD70F8A4-156F-4F8A-9852-E59CCFCA0941}">
      <text>
        <r>
          <rPr>
            <sz val="9"/>
            <color indexed="81"/>
            <rFont val="Segoe UI"/>
            <family val="2"/>
          </rPr>
          <t>Manufacturing industries and construction: 3
Commercial/insitutional: 3
Residental and agriculture/forestry/fishing/fishing farms: 100</t>
        </r>
      </text>
    </comment>
    <comment ref="H35" authorId="1" shapeId="0" xr:uid="{47CFF1D3-5EDD-49A1-B552-DAFDDF92E1BB}">
      <text>
        <r>
          <rPr>
            <sz val="9"/>
            <color indexed="81"/>
            <rFont val="Segoe UI"/>
            <family val="2"/>
          </rPr>
          <t>Manufacturing industries and construction: 30
Commercial/intitutional: 30
Residental and agriculture/forestry/fishing/fishing farms: 900</t>
        </r>
      </text>
    </comment>
    <comment ref="F36" authorId="1" shapeId="0" xr:uid="{4CB6D5D4-3EA5-481A-84DA-A16AF02DCB59}">
      <text>
        <r>
          <rPr>
            <sz val="9"/>
            <color indexed="81"/>
            <rFont val="Segoe UI"/>
            <family val="2"/>
          </rPr>
          <t>Commercial/institutional: 5
Residental and agriculture/forestry/fishing/fishing farms: 5</t>
        </r>
      </text>
    </comment>
    <comment ref="G36" authorId="1" shapeId="0" xr:uid="{4F7CD90C-7E38-4075-AB9E-04603931A886}">
      <text>
        <r>
          <rPr>
            <sz val="9"/>
            <color indexed="81"/>
            <rFont val="Segoe UI"/>
            <family val="2"/>
          </rPr>
          <t>Commercial/institutional: 1,5
Residental and agriculture/forestry/fishing/fishing farms: 1,5</t>
        </r>
      </text>
    </comment>
    <comment ref="H36" authorId="1" shapeId="0" xr:uid="{188C1AC2-437B-49D0-AC33-40CCF5DBFA52}">
      <text>
        <r>
          <rPr>
            <sz val="9"/>
            <color indexed="81"/>
            <rFont val="Segoe UI"/>
            <family val="2"/>
          </rPr>
          <t>Commercial/institutional: 15
Residental and agriculture/forestry/fishing/fishing farms: 15</t>
        </r>
      </text>
    </comment>
    <comment ref="D60" authorId="0" shapeId="0" xr:uid="{D9CB5CFF-3355-43FA-BC1E-C4216EB115BA}">
      <text>
        <r>
          <rPr>
            <sz val="9"/>
            <color indexed="81"/>
            <rFont val="Segoe UI"/>
            <family val="2"/>
          </rPr>
          <t>assumed negligible</t>
        </r>
      </text>
    </comment>
    <comment ref="D88" authorId="0" shapeId="0" xr:uid="{90ED2E09-1A8D-4D80-8A1D-08C3AFEC33EF}">
      <text>
        <r>
          <rPr>
            <sz val="9"/>
            <color indexed="81"/>
            <rFont val="Segoe UI"/>
            <family val="2"/>
          </rPr>
          <t>Available data for N2O emissions result from older and/or individual measurements. 
From the different single values,  20 g N2O/t MSW incinerated seems conservative and is used as a default value.</t>
        </r>
      </text>
    </comment>
    <comment ref="C97" authorId="0" shapeId="0" xr:uid="{6BDA6742-99CA-451B-8AF5-F286CB67DC28}">
      <text>
        <r>
          <rPr>
            <sz val="9"/>
            <color indexed="81"/>
            <rFont val="Segoe UI"/>
            <family val="2"/>
          </rPr>
          <t xml:space="preserve">An average value of 0.088 was derived from DOCf values for engineered wood products, sawn woods, tree branches reported in 3 references.
</t>
        </r>
      </text>
    </comment>
    <comment ref="C98" authorId="0" shapeId="0" xr:uid="{3B24E225-2B6F-4B48-9B15-78818BDE1E75}">
      <text>
        <r>
          <rPr>
            <sz val="9"/>
            <color indexed="81"/>
            <rFont val="Segoe UI"/>
            <family val="2"/>
          </rPr>
          <t>An average value of 0.523 was derived from DOCf values for paper products, textile and nappies reported in 4 references.</t>
        </r>
      </text>
    </comment>
    <comment ref="C99" authorId="0" shapeId="0" xr:uid="{5CA8F4F3-6BE1-400B-8531-305C1F59585B}">
      <text>
        <r>
          <rPr>
            <sz val="9"/>
            <color indexed="81"/>
            <rFont val="Segoe UI"/>
            <family val="2"/>
          </rPr>
          <t>An average value of 0.706 was derived from DOCf values for food wastes and grasses reported in 3 references.</t>
        </r>
      </text>
    </comment>
    <comment ref="C100" authorId="0" shapeId="0" xr:uid="{0371F8DD-F484-42E5-A6DA-E6E26C2D2A5E}">
      <text>
        <r>
          <rPr>
            <sz val="9"/>
            <color indexed="81"/>
            <rFont val="Segoe UI"/>
            <family val="2"/>
          </rPr>
          <t>It is used when the fractions of less, moderately and highly decomposable wastes in MSW are not known.</t>
        </r>
      </text>
    </comment>
    <comment ref="C132" authorId="1" shapeId="0" xr:uid="{C3E99389-2FC7-4F10-AA8B-10A0856B476C}">
      <text>
        <r>
          <rPr>
            <sz val="9"/>
            <color indexed="81"/>
            <rFont val="Segoe UI"/>
            <family val="2"/>
          </rPr>
          <t>The moisture content given here applies to the specific waste types before they enter the collection and treatment. In samples taken from
collected waste or from e.g., SWDS the moisture content of each waste type will vary by moisture of co-existing waste and weather
during handling.</t>
        </r>
      </text>
    </comment>
    <comment ref="G133" authorId="1" shapeId="0" xr:uid="{F09CF123-4E9C-4C50-8CC2-C91696216CC1}">
      <text>
        <r>
          <rPr>
            <sz val="9"/>
            <color indexed="81"/>
            <rFont val="Segoe UI"/>
            <family val="2"/>
          </rPr>
          <t xml:space="preserve">The range refers to the minimum and maximum data reported by Dehoust et al., 2002; Gangdonggu, 1997; Guendehou, 2004; JESC,
2001; Jager and Blok, 1993; Würdinger et al., 1997; and Zeschmar-Lahl, 2002.
</t>
        </r>
      </text>
    </comment>
    <comment ref="B135" authorId="1" shapeId="0" xr:uid="{E8DCEBEE-AD4D-43BD-848C-8529DB898C35}">
      <text>
        <r>
          <rPr>
            <sz val="9"/>
            <color indexed="81"/>
            <rFont val="Segoe UI"/>
            <family val="2"/>
          </rPr>
          <t xml:space="preserve">40 percent of textile are assumed to be synthetic (default). Expert judgement by the authors.
</t>
        </r>
      </text>
    </comment>
    <comment ref="C137" authorId="1" shapeId="0" xr:uid="{40A4B466-B90B-47A1-904E-DE80575F3E3A}">
      <text>
        <r>
          <rPr>
            <sz val="9"/>
            <color indexed="81"/>
            <rFont val="Segoe UI"/>
            <family val="2"/>
          </rPr>
          <t xml:space="preserve">This value is for wood products at the end of life. Typical dry matter content of wood at the time of harvest (that is for garden and park
waste) is 40 percent. Expert judgement by the authors.
</t>
        </r>
      </text>
    </comment>
    <comment ref="D140" authorId="1" shapeId="0" xr:uid="{91754955-5D81-43FE-BF6E-1F728164676E}">
      <text>
        <r>
          <rPr>
            <sz val="9"/>
            <color indexed="81"/>
            <rFont val="Segoe UI"/>
            <family val="2"/>
          </rPr>
          <t>Natural rubbers would likely not degrade under anaerobic condition at SWDS (Tsuchii et al., 1985; Rose and Steinbüchel, 2005).</t>
        </r>
      </text>
    </comment>
    <comment ref="E140" authorId="1" shapeId="0" xr:uid="{02316DD5-A77E-4FFE-8198-577AC8300654}">
      <text>
        <r>
          <rPr>
            <sz val="9"/>
            <color indexed="81"/>
            <rFont val="Segoe UI"/>
            <family val="2"/>
          </rPr>
          <t>Natural rubbers would likely not degrade under anaerobic condition at SWDS (Tsuchii et al., 1985; Rose and Steinbüchel, 2005).</t>
        </r>
      </text>
    </comment>
    <comment ref="F140" authorId="1" shapeId="0" xr:uid="{34353205-4393-456F-80FB-9C094B6C5F6E}">
      <text>
        <r>
          <rPr>
            <sz val="9"/>
            <color indexed="81"/>
            <rFont val="Segoe UI"/>
            <family val="2"/>
          </rPr>
          <t>Natural rubbers would likely not degrade under anaerobic condition at SWDS (Tsuchii et al., 1985; Rose and Steinbüchel, 2005).</t>
        </r>
      </text>
    </comment>
    <comment ref="G140" authorId="1" shapeId="0" xr:uid="{1721DEF6-CB4A-499A-8445-C14928DC3D6F}">
      <text>
        <r>
          <rPr>
            <sz val="9"/>
            <color indexed="81"/>
            <rFont val="Segoe UI"/>
            <family val="2"/>
          </rPr>
          <t>Natural rubbers would likely not degrade under anaerobic condition at SWDS (Tsuchii et al., 1985; Rose and Steinbüchel, 2005).</t>
        </r>
      </text>
    </comment>
    <comment ref="B142" authorId="1" shapeId="0" xr:uid="{6C43D7EB-A649-4923-9E06-E61B2EFAF77B}">
      <text>
        <r>
          <rPr>
            <sz val="9"/>
            <color indexed="81"/>
            <rFont val="Segoe UI"/>
            <family val="2"/>
          </rPr>
          <t xml:space="preserve">Metal and glass contain some carbon of fossil origin. Combustion of significant amounts of glass or metal is not common.
</t>
        </r>
      </text>
    </comment>
    <comment ref="B143" authorId="1" shapeId="0" xr:uid="{4B3C233E-0865-479F-8A1E-8C3E66024D45}">
      <text>
        <r>
          <rPr>
            <sz val="9"/>
            <color indexed="81"/>
            <rFont val="Segoe UI"/>
            <family val="2"/>
          </rPr>
          <t xml:space="preserve">Metal and glass contain some carbon of fossil origin. Combustion of significant amounts of glass or metal is not common.
</t>
        </r>
      </text>
    </comment>
    <comment ref="E158" authorId="0" shapeId="0" xr:uid="{14C5AA63-7669-479F-B5BE-416BD17FEAE4}">
      <text>
        <r>
          <rPr>
            <sz val="9"/>
            <color indexed="81"/>
            <rFont val="Segoe UI"/>
            <family val="2"/>
          </rPr>
          <t>IPCC 2019, Annex 2A.1, Table 2A.1, Footnote 2:
"For developing countries in italics in the table, the waste generation rates should be multiplied by the urban population only."</t>
        </r>
      </text>
    </comment>
    <comment ref="K158" authorId="1" shapeId="0" xr:uid="{3128E002-31D3-4161-90BF-C5445CE2B669}">
      <text>
        <r>
          <rPr>
            <sz val="9"/>
            <color indexed="81"/>
            <rFont val="Segoe UI"/>
            <family val="2"/>
          </rPr>
          <t>Other, unspecified, includes data on recycling for some countries.</t>
        </r>
      </text>
    </comment>
    <comment ref="F185" authorId="1" shapeId="0" xr:uid="{9B609B92-2884-46A6-9430-08041B8FDA64}">
      <text>
        <r>
          <rPr>
            <sz val="9"/>
            <color indexed="81"/>
            <rFont val="Segoe UI"/>
            <family val="2"/>
          </rPr>
          <t>"Caribbean"</t>
        </r>
      </text>
    </comment>
    <comment ref="N185" authorId="1" shapeId="0" xr:uid="{5C35B198-F9C8-41A7-A750-5762867F31E3}">
      <text>
        <r>
          <rPr>
            <sz val="9"/>
            <color indexed="81"/>
            <rFont val="Segoe UI"/>
            <family val="2"/>
          </rPr>
          <t>"Central America"</t>
        </r>
      </text>
    </comment>
    <comment ref="F189" authorId="1" shapeId="0" xr:uid="{3A9B5ACC-FA4E-4E12-8425-918C98EFDB55}">
      <text>
        <r>
          <rPr>
            <sz val="9"/>
            <color indexed="81"/>
            <rFont val="Segoe UI"/>
            <family val="2"/>
          </rPr>
          <t>"Caribbean"</t>
        </r>
      </text>
    </comment>
    <comment ref="N189" authorId="1" shapeId="0" xr:uid="{4048F17E-8134-435C-A4E3-5EDCAC934268}">
      <text>
        <r>
          <rPr>
            <sz val="9"/>
            <color indexed="81"/>
            <rFont val="Segoe UI"/>
            <family val="2"/>
          </rPr>
          <t>"Central America"</t>
        </r>
      </text>
    </comment>
    <comment ref="F199" authorId="1" shapeId="0" xr:uid="{25425D34-9F3B-4DAC-B8E5-F6CD8629B12B}">
      <text>
        <r>
          <rPr>
            <sz val="9"/>
            <color indexed="81"/>
            <rFont val="Segoe UI"/>
            <family val="2"/>
          </rPr>
          <t>"Caribbean"</t>
        </r>
      </text>
    </comment>
    <comment ref="N199" authorId="1" shapeId="0" xr:uid="{F8BE1812-6738-49B8-86FB-B4B3FD995230}">
      <text>
        <r>
          <rPr>
            <sz val="9"/>
            <color indexed="81"/>
            <rFont val="Segoe UI"/>
            <family val="2"/>
          </rPr>
          <t>"Central America"</t>
        </r>
      </text>
    </comment>
    <comment ref="F214" authorId="1" shapeId="0" xr:uid="{3907861D-A49F-478D-BDF4-36C2B5F7FF4A}">
      <text>
        <r>
          <rPr>
            <sz val="9"/>
            <color indexed="81"/>
            <rFont val="Segoe UI"/>
            <family val="2"/>
          </rPr>
          <t>"Caribbean"</t>
        </r>
      </text>
    </comment>
    <comment ref="N214" authorId="1" shapeId="0" xr:uid="{42B08687-38C4-42BF-9085-7990EA686811}">
      <text>
        <r>
          <rPr>
            <sz val="9"/>
            <color indexed="81"/>
            <rFont val="Segoe UI"/>
            <family val="2"/>
          </rPr>
          <t>"Central America"</t>
        </r>
      </text>
    </comment>
    <comment ref="F235" authorId="1" shapeId="0" xr:uid="{58079BF5-46D4-4EB0-8191-8334C1A43FB4}">
      <text>
        <r>
          <rPr>
            <sz val="9"/>
            <color indexed="81"/>
            <rFont val="Segoe UI"/>
            <family val="2"/>
          </rPr>
          <t>"Polynesia"</t>
        </r>
      </text>
    </comment>
    <comment ref="E259" authorId="1" shapeId="0" xr:uid="{3B7F9AE3-4BD1-4497-A8A6-1FB6377BA7E5}">
      <text>
        <r>
          <rPr>
            <sz val="9"/>
            <color indexed="81"/>
            <rFont val="Segoe UI"/>
            <family val="2"/>
          </rPr>
          <t>Initially under the region "Northern Europe", in order to be consistent with the table "Waste composition"</t>
        </r>
      </text>
    </comment>
    <comment ref="F291" authorId="1" shapeId="0" xr:uid="{EE03AF09-21F8-462C-8EC0-886EE6FAA9A9}">
      <text>
        <r>
          <rPr>
            <sz val="9"/>
            <color indexed="81"/>
            <rFont val="Segoe UI"/>
            <family val="2"/>
          </rPr>
          <t>"Caribbean"</t>
        </r>
      </text>
    </comment>
    <comment ref="N291" authorId="1" shapeId="0" xr:uid="{1C096908-9D86-46F4-9101-F5137452481D}">
      <text>
        <r>
          <rPr>
            <sz val="9"/>
            <color indexed="81"/>
            <rFont val="Segoe UI"/>
            <family val="2"/>
          </rPr>
          <t>"Central America"</t>
        </r>
      </text>
    </comment>
    <comment ref="F301" authorId="1" shapeId="0" xr:uid="{E4323E92-AC93-4723-81FB-F3B89D3E8D68}">
      <text>
        <r>
          <rPr>
            <sz val="9"/>
            <color indexed="81"/>
            <rFont val="Segoe UI"/>
            <family val="2"/>
          </rPr>
          <t>"Caribbean"</t>
        </r>
      </text>
    </comment>
    <comment ref="F329" authorId="1" shapeId="0" xr:uid="{DFA9D5C7-9282-444F-91FA-CC51EE825204}">
      <text>
        <r>
          <rPr>
            <sz val="9"/>
            <color indexed="81"/>
            <rFont val="Segoe UI"/>
            <family val="2"/>
          </rPr>
          <t>"Caribbean"</t>
        </r>
      </text>
    </comment>
    <comment ref="N329" authorId="1" shapeId="0" xr:uid="{71B799B6-D4AD-4B84-BDCC-62FF4821EA08}">
      <text>
        <r>
          <rPr>
            <sz val="9"/>
            <color indexed="81"/>
            <rFont val="Segoe UI"/>
            <family val="2"/>
          </rPr>
          <t>"Central America"</t>
        </r>
      </text>
    </comment>
    <comment ref="F338" authorId="1" shapeId="0" xr:uid="{18EC393F-AED2-4B3F-A958-DF5A5E09165B}">
      <text>
        <r>
          <rPr>
            <sz val="9"/>
            <color indexed="81"/>
            <rFont val="Segoe UI"/>
            <family val="2"/>
          </rPr>
          <t>"Caribbean"</t>
        </r>
      </text>
    </comment>
    <comment ref="N338" authorId="1" shapeId="0" xr:uid="{4A236803-8B11-4962-BDAF-1F0A7CC0F66E}">
      <text>
        <r>
          <rPr>
            <sz val="9"/>
            <color indexed="81"/>
            <rFont val="Segoe UI"/>
            <family val="2"/>
          </rPr>
          <t>"Central America"</t>
        </r>
      </text>
    </comment>
    <comment ref="F350" authorId="1" shapeId="0" xr:uid="{1E4928D3-E432-436E-BD26-6E8808AEB3E1}">
      <text>
        <r>
          <rPr>
            <sz val="9"/>
            <color indexed="81"/>
            <rFont val="Segoe UI"/>
            <family val="2"/>
          </rPr>
          <t>"Caribbean"</t>
        </r>
      </text>
    </comment>
    <comment ref="N350" authorId="1" shapeId="0" xr:uid="{521A83C2-0BFF-4893-8F9D-28D2400538B0}">
      <text>
        <r>
          <rPr>
            <sz val="9"/>
            <color indexed="81"/>
            <rFont val="Segoe UI"/>
            <family val="2"/>
          </rPr>
          <t>"Central America"</t>
        </r>
      </text>
    </comment>
    <comment ref="F375" authorId="1" shapeId="0" xr:uid="{F6B9684A-4A62-410D-883E-357F9D772503}">
      <text>
        <r>
          <rPr>
            <sz val="9"/>
            <color indexed="81"/>
            <rFont val="Segoe UI"/>
            <family val="2"/>
          </rPr>
          <t>"Caribbean"</t>
        </r>
      </text>
    </comment>
    <comment ref="N375" authorId="1" shapeId="0" xr:uid="{7DCC9896-3830-4882-9AF7-8527D32AB890}">
      <text>
        <r>
          <rPr>
            <sz val="9"/>
            <color indexed="81"/>
            <rFont val="Segoe UI"/>
            <family val="2"/>
          </rPr>
          <t>"Central America"</t>
        </r>
      </text>
    </comment>
    <comment ref="E380" authorId="1" shapeId="0" xr:uid="{50FAA64C-E410-4C02-9170-5518E3BAFA57}">
      <text>
        <r>
          <rPr>
            <sz val="9"/>
            <color indexed="81"/>
            <rFont val="Segoe UI"/>
            <family val="2"/>
          </rPr>
          <t>Initially under the region "Northern Europe", in order to be consistent with the table "Waste composition"</t>
        </r>
      </text>
    </comment>
    <comment ref="F387" authorId="1" shapeId="0" xr:uid="{0D2BB89C-C44B-493C-B808-C6511E04F320}">
      <text>
        <r>
          <rPr>
            <sz val="9"/>
            <color indexed="81"/>
            <rFont val="Segoe UI"/>
            <family val="2"/>
          </rPr>
          <t>"Caribbean"</t>
        </r>
      </text>
    </comment>
    <comment ref="N387" authorId="1" shapeId="0" xr:uid="{65738C78-3845-4E24-8751-E7C3DEF84FDD}">
      <text>
        <r>
          <rPr>
            <sz val="9"/>
            <color indexed="81"/>
            <rFont val="Segoe UI"/>
            <family val="2"/>
          </rPr>
          <t>"Central America"</t>
        </r>
      </text>
    </comment>
    <comment ref="E403" authorId="1" shapeId="0" xr:uid="{7B3061BC-130B-42CB-AB7E-63742B90373A}">
      <text>
        <r>
          <rPr>
            <sz val="9"/>
            <color indexed="81"/>
            <rFont val="Segoe UI"/>
            <family val="2"/>
          </rPr>
          <t>In IPCC report here is "Australia and New Zealand". It was changed to Oceania so that Melanesia and Polynesia could be included under it, since there is no information of the waste composition of those countries/regions --&gt; now the waste composition can be taken from region "Oceania" for them.</t>
        </r>
      </text>
    </comment>
  </commentList>
</comments>
</file>

<file path=xl/sharedStrings.xml><?xml version="1.0" encoding="utf-8"?>
<sst xmlns="http://schemas.openxmlformats.org/spreadsheetml/2006/main" count="2350" uniqueCount="1054">
  <si>
    <t>Efficiency of gas collection</t>
  </si>
  <si>
    <t>Flare</t>
  </si>
  <si>
    <t>Check total</t>
  </si>
  <si>
    <t>kWh/t</t>
  </si>
  <si>
    <t>Recycled Waste</t>
  </si>
  <si>
    <t>thereof</t>
  </si>
  <si>
    <t>Disposed of waste</t>
  </si>
  <si>
    <t>Total waste</t>
  </si>
  <si>
    <t>Recycled dry waste</t>
  </si>
  <si>
    <t>Composted organic waste</t>
  </si>
  <si>
    <t>Digested organic waste</t>
  </si>
  <si>
    <t>Residual waste to MSWI</t>
  </si>
  <si>
    <t>Results absolute costs for the calculated scenario</t>
  </si>
  <si>
    <t>Costs</t>
  </si>
  <si>
    <t>Recycling of dry waste</t>
  </si>
  <si>
    <t>Composting</t>
  </si>
  <si>
    <t>Digestion</t>
  </si>
  <si>
    <t>in %</t>
  </si>
  <si>
    <t>Default</t>
  </si>
  <si>
    <t>Components</t>
  </si>
  <si>
    <t>Paper, cardboard</t>
  </si>
  <si>
    <t>Plastics</t>
  </si>
  <si>
    <t>Glass</t>
  </si>
  <si>
    <t>Total</t>
  </si>
  <si>
    <t>Total waste amount</t>
  </si>
  <si>
    <t>Population</t>
  </si>
  <si>
    <t>Data on disposal technologies</t>
  </si>
  <si>
    <t>Incineration</t>
  </si>
  <si>
    <t xml:space="preserve"> </t>
  </si>
  <si>
    <t>%</t>
  </si>
  <si>
    <t>Max</t>
  </si>
  <si>
    <t xml:space="preserve">Dry materials </t>
  </si>
  <si>
    <t>BS + landfill</t>
  </si>
  <si>
    <t>in % wet waste</t>
  </si>
  <si>
    <t>tonnes/yr</t>
  </si>
  <si>
    <t>kg/cap/yr</t>
  </si>
  <si>
    <t>Total (must be 100%)</t>
  </si>
  <si>
    <t>Min</t>
  </si>
  <si>
    <t>Recycled waste</t>
  </si>
  <si>
    <t>Net</t>
  </si>
  <si>
    <t>Debits</t>
  </si>
  <si>
    <t>Credits</t>
  </si>
  <si>
    <t xml:space="preserve"> Debits</t>
  </si>
  <si>
    <t xml:space="preserve"> Credits</t>
  </si>
  <si>
    <t xml:space="preserve"> Net</t>
  </si>
  <si>
    <t>Total MSW treatment</t>
  </si>
  <si>
    <t>Disposed of Waste</t>
  </si>
  <si>
    <t>Electricity grid</t>
  </si>
  <si>
    <t>in MJ/kg</t>
  </si>
  <si>
    <t>Classification of water content</t>
  </si>
  <si>
    <t>Result - carbon content of total waste</t>
  </si>
  <si>
    <t>Calorific value</t>
  </si>
  <si>
    <t>Total carbon content</t>
  </si>
  <si>
    <t>Fossil carbon content</t>
  </si>
  <si>
    <t>Regenerative carbon content</t>
  </si>
  <si>
    <t>Textiles</t>
  </si>
  <si>
    <t>Euro/yr</t>
  </si>
  <si>
    <t>Residual waste to sanitary landfill with gas collection</t>
  </si>
  <si>
    <t>Total waste amounts, calorific value and carbon content</t>
  </si>
  <si>
    <t>Calculated carbon content in total waste generated</t>
  </si>
  <si>
    <t>Total carbon in total waste generated</t>
  </si>
  <si>
    <t>Fossil carbon in total waste generated</t>
  </si>
  <si>
    <t>Calculated calorific value in total waste generated</t>
  </si>
  <si>
    <t>Waste amounts for recycling</t>
  </si>
  <si>
    <t>Heat (Mix 50% oil; 50% natural gas)</t>
  </si>
  <si>
    <t>parameter</t>
  </si>
  <si>
    <t>fixed value</t>
  </si>
  <si>
    <t>C total</t>
  </si>
  <si>
    <t>C fossil</t>
  </si>
  <si>
    <t>in tonnes/yr</t>
  </si>
  <si>
    <t>% wet waste</t>
  </si>
  <si>
    <t>Total carbon in waste to disposal</t>
  </si>
  <si>
    <t>Fossil carbon in waste to disposal</t>
  </si>
  <si>
    <t>MJ/kg wet waste</t>
  </si>
  <si>
    <t>Remaining residual waste</t>
  </si>
  <si>
    <t>Calculated carbon content, calorific value in residual waste</t>
  </si>
  <si>
    <t>Calculated carbon content in residual waste</t>
  </si>
  <si>
    <t>Calculated calorific value in residual waste</t>
  </si>
  <si>
    <t>kg CO2-eq/t</t>
  </si>
  <si>
    <t>Emitted CO2 via open burning</t>
  </si>
  <si>
    <t>kWh/t waste</t>
  </si>
  <si>
    <t>Electricity demand sanitary landfill</t>
  </si>
  <si>
    <t>Thermal energy demand sanitary landfill</t>
  </si>
  <si>
    <t>Fossile carbon in residual waste</t>
  </si>
  <si>
    <t>CO2 via incineration</t>
  </si>
  <si>
    <t>Calorific value residual waste</t>
  </si>
  <si>
    <t>BS/landfill</t>
  </si>
  <si>
    <t>Residual waste to controlled dump/landfill without gas collection</t>
  </si>
  <si>
    <t>Residual waste to BS/landfill</t>
  </si>
  <si>
    <t>Rubber, leather</t>
  </si>
  <si>
    <t>Food waste</t>
  </si>
  <si>
    <t>Wood</t>
  </si>
  <si>
    <t>Nappies (diapers)</t>
  </si>
  <si>
    <t>Ferrous Metals</t>
  </si>
  <si>
    <t>Aluminium</t>
  </si>
  <si>
    <t>Separate collection changes the original waste composition, the recycling rates you inserted</t>
  </si>
  <si>
    <t>Scenario 2</t>
  </si>
  <si>
    <t>Scenario 3</t>
  </si>
  <si>
    <t>Nappies (disposable diapers)</t>
  </si>
  <si>
    <t>Garden and park waste</t>
  </si>
  <si>
    <t>kg/cap/day</t>
  </si>
  <si>
    <t>Garden and Park waste</t>
  </si>
  <si>
    <t>Rubber and Leather</t>
  </si>
  <si>
    <t>kg CO2/t waste</t>
  </si>
  <si>
    <t>% carbon</t>
  </si>
  <si>
    <t>x % of</t>
  </si>
  <si>
    <t>Type of material</t>
  </si>
  <si>
    <t>Type of organic waste</t>
  </si>
  <si>
    <t xml:space="preserve">x % of </t>
  </si>
  <si>
    <t>Options for waste treatment and disposal</t>
  </si>
  <si>
    <t>Organic waste to recycling is:</t>
  </si>
  <si>
    <t>Your input results in a total waste amount of</t>
  </si>
  <si>
    <t>Result - total waste amount</t>
  </si>
  <si>
    <t>Result - calorific value and carbon content of total waste</t>
  </si>
  <si>
    <t>Start</t>
  </si>
  <si>
    <t>Recycling</t>
  </si>
  <si>
    <t>Disposal</t>
  </si>
  <si>
    <t>KfW contact</t>
  </si>
  <si>
    <t>KfW Entwicklungsbank</t>
  </si>
  <si>
    <t xml:space="preserve">Incineration plant </t>
  </si>
  <si>
    <t>Total MSW</t>
  </si>
  <si>
    <t>thereof recycled</t>
  </si>
  <si>
    <t>thereof disposed of</t>
  </si>
  <si>
    <t>Benefit for electricity production</t>
  </si>
  <si>
    <t>Benefit for heat production</t>
  </si>
  <si>
    <t>Intermediate result / information</t>
  </si>
  <si>
    <t>to recycling</t>
  </si>
  <si>
    <t>Example</t>
  </si>
  <si>
    <t>Mitigation costs per tonne of GHG emissions for the calculated scenario compared to Status Quo (SQ)</t>
  </si>
  <si>
    <t>If the difference in costs is &lt; 0 and/or the difference in GHG emissions is &gt; 0 no mitigation costs can be calcluated, the result is "0"</t>
  </si>
  <si>
    <t xml:space="preserve"> -</t>
  </si>
  <si>
    <t>Waste treated in t/yr</t>
  </si>
  <si>
    <t>Total waste in t/yr</t>
  </si>
  <si>
    <t>Total GHG emissions in t CO2-eq/yr</t>
  </si>
  <si>
    <t>Waste characteristics</t>
  </si>
  <si>
    <r>
      <t xml:space="preserve"> </t>
    </r>
    <r>
      <rPr>
        <sz val="10"/>
        <rFont val="Arial"/>
        <family val="2"/>
      </rPr>
      <t xml:space="preserve"> </t>
    </r>
  </si>
  <si>
    <t xml:space="preserve">  </t>
  </si>
  <si>
    <t>Dynamic prime costs (DPC)</t>
  </si>
  <si>
    <t xml:space="preserve">Developed by </t>
  </si>
  <si>
    <t>Introduction</t>
  </si>
  <si>
    <t>Institut für Energie und Umweltforschung, Heidelberg</t>
  </si>
  <si>
    <t>(Institute for Energy and Environmental Research)</t>
  </si>
  <si>
    <t>Tool for calculating Greenhouse Gases (GHG) in Solid Waste Management (SWM)</t>
  </si>
  <si>
    <t>Ferrous metals</t>
  </si>
  <si>
    <t>Composted</t>
  </si>
  <si>
    <t>Scattered waste not burned</t>
  </si>
  <si>
    <t>Controlled dump/landfill without gas collection</t>
  </si>
  <si>
    <t>Sanitary landfill with gas collection</t>
  </si>
  <si>
    <t>Advanced technologies</t>
  </si>
  <si>
    <t>Simple treatment technologies</t>
  </si>
  <si>
    <t>Electricity</t>
  </si>
  <si>
    <t>No treatment; ventilation only</t>
  </si>
  <si>
    <t>Thermal</t>
  </si>
  <si>
    <t>Please fill in the green cells</t>
  </si>
  <si>
    <t>Waste composition in percentages of wet weight</t>
  </si>
  <si>
    <t>Low water content</t>
  </si>
  <si>
    <t>High water content</t>
  </si>
  <si>
    <t>Fraction</t>
  </si>
  <si>
    <t>Paper</t>
  </si>
  <si>
    <t>Metals</t>
  </si>
  <si>
    <t>Textiles, rubber, leather</t>
  </si>
  <si>
    <t>Calorific value total waste low water content</t>
  </si>
  <si>
    <t>Calorific value total waste high water content</t>
  </si>
  <si>
    <t>Calorific value waste to disposal low water content</t>
  </si>
  <si>
    <t>Calorific value waste to disposal high water content</t>
  </si>
  <si>
    <t>Organic waste</t>
  </si>
  <si>
    <t>Emissions</t>
  </si>
  <si>
    <t>Net result</t>
  </si>
  <si>
    <t>Total recycling</t>
  </si>
  <si>
    <t>Net results</t>
  </si>
  <si>
    <t>Wild dump</t>
  </si>
  <si>
    <t>Total disposal</t>
  </si>
  <si>
    <t>Check total waste</t>
  </si>
  <si>
    <t>Garden &amp; park waste</t>
  </si>
  <si>
    <t>Scattered</t>
  </si>
  <si>
    <t>Burned-open</t>
  </si>
  <si>
    <t>Controlled landfill</t>
  </si>
  <si>
    <t>Sanitary landfill</t>
  </si>
  <si>
    <t>Wild dumps/unmanaged disposal site</t>
  </si>
  <si>
    <t>Euro/t</t>
  </si>
  <si>
    <t>Total costs in euro/yr</t>
  </si>
  <si>
    <t>Specific costs  in euro/t CO2-eq</t>
  </si>
  <si>
    <t>Difference costs compared to SQ in euro/yr</t>
  </si>
  <si>
    <t>Emission factors for energy demand</t>
  </si>
  <si>
    <t>Carbon content for waste fractions</t>
  </si>
  <si>
    <t>Calorific value of waste fractions</t>
  </si>
  <si>
    <t>Share of recycling, remaining residual waste; calorific value, carbon content</t>
  </si>
  <si>
    <t>Calculated composition of remaining residual waste</t>
  </si>
  <si>
    <t>Results of Global Warming Potential (GWP) recycling</t>
  </si>
  <si>
    <t>Results of GWP residual waste treatment</t>
  </si>
  <si>
    <t>Results for total costs</t>
  </si>
  <si>
    <t>DOCf</t>
  </si>
  <si>
    <t>MCF</t>
  </si>
  <si>
    <t>Anaerobic digestion</t>
  </si>
  <si>
    <t>CO2</t>
  </si>
  <si>
    <t>CH4</t>
  </si>
  <si>
    <t>N2O</t>
  </si>
  <si>
    <t>Garden (yard) and park waste</t>
  </si>
  <si>
    <t>Paper and cardboard</t>
  </si>
  <si>
    <t>Rubber and leather</t>
  </si>
  <si>
    <t>Metal</t>
  </si>
  <si>
    <t>Glass (and pottery and china)</t>
  </si>
  <si>
    <t>Other</t>
  </si>
  <si>
    <t>Waste composition</t>
  </si>
  <si>
    <t>CO2 fossil</t>
  </si>
  <si>
    <t>CH4 - non fossil</t>
  </si>
  <si>
    <t>CH4 - fossil</t>
  </si>
  <si>
    <t>GWP100</t>
  </si>
  <si>
    <t>OX</t>
  </si>
  <si>
    <t>FCH4</t>
  </si>
  <si>
    <t>https://www.ipcc.ch/report/ar6/wg1/downloads/report/IPCC_AR6_WGI_Chapter_07.pdf</t>
  </si>
  <si>
    <t>https://www.ipcc.ch/report/ar6/wg1/downloads/report/IPCC_AR6_WGI_Chapter_07_Supplementary_Material.pdf</t>
  </si>
  <si>
    <t>Waste fraction</t>
  </si>
  <si>
    <t>EF emissions</t>
  </si>
  <si>
    <t>Unit</t>
  </si>
  <si>
    <t>Fe metals</t>
  </si>
  <si>
    <t>Fraction of degradable organic carbon which decomposes for different waste types</t>
  </si>
  <si>
    <t>IPCC 2019, V5, Ch3, Table 3.0</t>
  </si>
  <si>
    <t>Type of waste</t>
  </si>
  <si>
    <t>Recommended Default DOCf</t>
  </si>
  <si>
    <t>Remark</t>
  </si>
  <si>
    <t>Less decomposable wastes e.g. wood, engineered wood products, tree branches (wood)</t>
  </si>
  <si>
    <t>Moderately decomposable wastes e.g. paper, textile, nappies</t>
  </si>
  <si>
    <t>Highly decomposable wastes e.g. food wastes, grasses (garden and park waste excluding tree branches)</t>
  </si>
  <si>
    <t>SWDS classification and methane correction factors</t>
  </si>
  <si>
    <t>IPCC 2019, V5, Ch3, Table 3.1</t>
  </si>
  <si>
    <t>Type of site</t>
  </si>
  <si>
    <t>MCF default values</t>
  </si>
  <si>
    <t>Remarks</t>
  </si>
  <si>
    <t>Managed - anaerobic</t>
  </si>
  <si>
    <t>These must have controlled placement of waste (i.e. waste directed to specific deposition areas, a degree of control of scavenging and a degree of control of fires) and will include at least one of the following: (i) cover material; (ii) mechanical compacting; or (iii) levelling of the waste.</t>
  </si>
  <si>
    <t>Managed well - semi-aerobic</t>
  </si>
  <si>
    <t>When semi-aerobic managed SWDS type is managed under one of the following condition, it is regarded as well magement ; (i) permeable cover material; (ii) leachate drainage system without sunk; (iii) regulating pondage; and (iv) gas ventilation system without cap, (v) connection of leachate drainage system and gas ventilation system.</t>
  </si>
  <si>
    <t>Managed poorly - semi-aerobic</t>
  </si>
  <si>
    <t>When semi-aerobic managed SWDS type is managed under one of the following condition, it is regarded as poor management; (i) condition of sunk of leachate drainage system; (ii) closing of valve of drainage or atmosphere-unopening of drainage exit; (iii) capping of gas ventilation exit.</t>
  </si>
  <si>
    <t>Managed well - active aeration</t>
  </si>
  <si>
    <t>Active aeration of managed landfills includes the technology of in-situ low pressure aeration, air sparging, bioventing, passive ventilation with extraction (suction). These must have controlled placement of waste and will include leachate drainage system to avoid the blockage of air penetration, and (i) cover material; (ii) air injection or gas extraction system without drying of waste.</t>
  </si>
  <si>
    <t>Managed poorly - active-aeration</t>
  </si>
  <si>
    <t>When SWDS, that is equipped as well as active aeration of managed SWDS, is managed under one of the following condition, it is judged as poor management; (i) blockage of aeration system due to failure of drainage; (ii) lack of available moisture for microorganisms due to high- pressure aeration.</t>
  </si>
  <si>
    <t>Unmanaged - deep (&gt;5m waste) and/or high water table</t>
  </si>
  <si>
    <t>All SWDS not meeting the criteria of managed SWDS and which have depths of greater than or equal to 5 metres and/or high water table at near ground level. Latter situation corresponds to filling inland water, such as pond, river or wetland, by waste.</t>
  </si>
  <si>
    <t>Unmanaged - shallow (&lt;5m waste)</t>
  </si>
  <si>
    <t>All SWDS not meeting the criteria of managed SWDS and which have depths of less than 5 metres.</t>
  </si>
  <si>
    <t>Uncategorized SWDS</t>
  </si>
  <si>
    <t>Only if countries cannot categorise their SWDS into above four categories of managed and unmanaged SWDS, the MCF for this category can be used.</t>
  </si>
  <si>
    <t>Oxidation factor (OX) for SWDS</t>
  </si>
  <si>
    <t>IPCC 2019, V5, Ch3, Table 3.2</t>
  </si>
  <si>
    <t>OX default values</t>
  </si>
  <si>
    <t>IPCC 2019, V5, Ch3, Appendix 3A.2</t>
  </si>
  <si>
    <t>Default value</t>
  </si>
  <si>
    <t>Fraction of CH4 in generated landfill gas</t>
  </si>
  <si>
    <t>DOC</t>
  </si>
  <si>
    <t>Default dry matter content, DOC content, total carbon content and fossil carbon fraction of different MSW components</t>
  </si>
  <si>
    <t>MSW component</t>
  </si>
  <si>
    <t>Dry matter content in % of wet weight</t>
  </si>
  <si>
    <t>Total carbon content in % of dry weight</t>
  </si>
  <si>
    <t>Fossil carbon fraction in % of total carbon</t>
  </si>
  <si>
    <t>Range</t>
  </si>
  <si>
    <t>Paper/cardboard</t>
  </si>
  <si>
    <t>36-45%</t>
  </si>
  <si>
    <t>40-50%</t>
  </si>
  <si>
    <t>42-50%</t>
  </si>
  <si>
    <t>0-5%</t>
  </si>
  <si>
    <t>20-40%</t>
  </si>
  <si>
    <t>25-50%</t>
  </si>
  <si>
    <t>0-50%</t>
  </si>
  <si>
    <t>8-20%</t>
  </si>
  <si>
    <t>20-50%</t>
  </si>
  <si>
    <t>39-46%</t>
  </si>
  <si>
    <t>46-54%</t>
  </si>
  <si>
    <t>18-22</t>
  </si>
  <si>
    <t>45-55%</t>
  </si>
  <si>
    <t>Nappies</t>
  </si>
  <si>
    <t>18-32%</t>
  </si>
  <si>
    <t>44-80%</t>
  </si>
  <si>
    <t>54-90%</t>
  </si>
  <si>
    <t>67-85%</t>
  </si>
  <si>
    <t>95-100%</t>
  </si>
  <si>
    <t>NA</t>
  </si>
  <si>
    <t>50-100%</t>
  </si>
  <si>
    <t>R</t>
  </si>
  <si>
    <t>Natural gas</t>
  </si>
  <si>
    <t>Biogas yield</t>
  </si>
  <si>
    <t xml:space="preserve">IPCC 2019, V5, Ch2, Annex 2A.2 </t>
  </si>
  <si>
    <t>Kazakhstan</t>
  </si>
  <si>
    <t>Uzbekistan</t>
  </si>
  <si>
    <t>China</t>
  </si>
  <si>
    <t>Japan</t>
  </si>
  <si>
    <t>Mongolia</t>
  </si>
  <si>
    <t>Republic of Korea</t>
  </si>
  <si>
    <t>Cambodia</t>
  </si>
  <si>
    <t>Indonesia</t>
  </si>
  <si>
    <t>Lao People's Democratic Republic</t>
  </si>
  <si>
    <t>Malaysia</t>
  </si>
  <si>
    <t>Myanmar</t>
  </si>
  <si>
    <t>Philippines</t>
  </si>
  <si>
    <t>Singapore</t>
  </si>
  <si>
    <t>Thailand</t>
  </si>
  <si>
    <t>Viet Nam</t>
  </si>
  <si>
    <t>Bangladesh</t>
  </si>
  <si>
    <t>India</t>
  </si>
  <si>
    <t>Nepal</t>
  </si>
  <si>
    <t>Sri Lanka</t>
  </si>
  <si>
    <t>Cyprus</t>
  </si>
  <si>
    <t>Iraq</t>
  </si>
  <si>
    <t>Jordan</t>
  </si>
  <si>
    <t>Oman</t>
  </si>
  <si>
    <t>Saudi Arabia</t>
  </si>
  <si>
    <t>State of Palestina</t>
  </si>
  <si>
    <t>Turkey</t>
  </si>
  <si>
    <t>United Arab Emirates</t>
  </si>
  <si>
    <t>Libya</t>
  </si>
  <si>
    <t>Tunisia</t>
  </si>
  <si>
    <t>Kenya</t>
  </si>
  <si>
    <t>Mauritius</t>
  </si>
  <si>
    <t>United Republic of Tanzania</t>
  </si>
  <si>
    <t>Zambia</t>
  </si>
  <si>
    <t>Zimbabwe</t>
  </si>
  <si>
    <t>Cameroon</t>
  </si>
  <si>
    <t>South Africa</t>
  </si>
  <si>
    <t>Ghana</t>
  </si>
  <si>
    <t>Mali</t>
  </si>
  <si>
    <t>Nigeria</t>
  </si>
  <si>
    <t>Bulgaria</t>
  </si>
  <si>
    <t>Czechia</t>
  </si>
  <si>
    <t>Hungary</t>
  </si>
  <si>
    <t>Poland</t>
  </si>
  <si>
    <t>Republic of Moldova</t>
  </si>
  <si>
    <t>Romania</t>
  </si>
  <si>
    <t>Russian Federation</t>
  </si>
  <si>
    <t>Ukraine</t>
  </si>
  <si>
    <t>Denmark</t>
  </si>
  <si>
    <t>Estonia</t>
  </si>
  <si>
    <t>Finland</t>
  </si>
  <si>
    <t>Iceland</t>
  </si>
  <si>
    <t>Latvia</t>
  </si>
  <si>
    <t>Lithuania</t>
  </si>
  <si>
    <t>Sweden</t>
  </si>
  <si>
    <t>Croatia</t>
  </si>
  <si>
    <t>Greece</t>
  </si>
  <si>
    <t>Italy</t>
  </si>
  <si>
    <t>Portugal</t>
  </si>
  <si>
    <t>Serbia</t>
  </si>
  <si>
    <t>Slovenia</t>
  </si>
  <si>
    <t>Spain</t>
  </si>
  <si>
    <t>United Kingdom of Great Britain and Northern Ireland</t>
  </si>
  <si>
    <t>Ireland</t>
  </si>
  <si>
    <t>France</t>
  </si>
  <si>
    <t>Germany</t>
  </si>
  <si>
    <t>Luxemburg</t>
  </si>
  <si>
    <t>Netherlands</t>
  </si>
  <si>
    <t>Switzerland</t>
  </si>
  <si>
    <t>Jamaica</t>
  </si>
  <si>
    <t>Mexico</t>
  </si>
  <si>
    <t>Nicaragua</t>
  </si>
  <si>
    <t>Brazil</t>
  </si>
  <si>
    <t>Argentina</t>
  </si>
  <si>
    <t>Peru</t>
  </si>
  <si>
    <t>Canada</t>
  </si>
  <si>
    <t>United States of America</t>
  </si>
  <si>
    <t>Australia</t>
  </si>
  <si>
    <t>New Zealand</t>
  </si>
  <si>
    <t>IPCC 2019, V5, Ch2, Annex 2A.1</t>
  </si>
  <si>
    <t>Data are based on weight of wet waste. Blank cells mean that no data is available for the country, regional data may be used in this case.</t>
  </si>
  <si>
    <t>MSW generation rate IPCC 2019 (tons/cap/yr)</t>
  </si>
  <si>
    <t>Tajikistan</t>
  </si>
  <si>
    <t>Turkmenistan</t>
  </si>
  <si>
    <t>Hong Kong Special Administrative Region, China</t>
  </si>
  <si>
    <t>Macao Special Administrative Region, China</t>
  </si>
  <si>
    <t>Brunei Darussalam</t>
  </si>
  <si>
    <t>Bhutan</t>
  </si>
  <si>
    <t>Iran (Islamic Rebuplic of)</t>
  </si>
  <si>
    <t>Maldives</t>
  </si>
  <si>
    <t>Pakistan</t>
  </si>
  <si>
    <t>Armenia</t>
  </si>
  <si>
    <t>Bahrain</t>
  </si>
  <si>
    <t>Georgia</t>
  </si>
  <si>
    <t>Israel</t>
  </si>
  <si>
    <t>Kuwait</t>
  </si>
  <si>
    <t>Lebanon</t>
  </si>
  <si>
    <t>Qatar</t>
  </si>
  <si>
    <t>State of Palestine</t>
  </si>
  <si>
    <t>Syrian Arab Republic</t>
  </si>
  <si>
    <t>Algeria</t>
  </si>
  <si>
    <t>Egypt</t>
  </si>
  <si>
    <t>Morocco</t>
  </si>
  <si>
    <t>Sudan</t>
  </si>
  <si>
    <t>Burundi</t>
  </si>
  <si>
    <t>Comoros</t>
  </si>
  <si>
    <t>Eritrea</t>
  </si>
  <si>
    <t>Ethiopia</t>
  </si>
  <si>
    <t>Madagascar</t>
  </si>
  <si>
    <t>Malawi</t>
  </si>
  <si>
    <t>Mozambique</t>
  </si>
  <si>
    <t>Réunion</t>
  </si>
  <si>
    <t>Rwanda</t>
  </si>
  <si>
    <t>Seychelles</t>
  </si>
  <si>
    <t>Uganda</t>
  </si>
  <si>
    <t>Angola</t>
  </si>
  <si>
    <t>Central African Republic</t>
  </si>
  <si>
    <t>Chad</t>
  </si>
  <si>
    <t>Congo</t>
  </si>
  <si>
    <t>Democratic Republic of the Congo</t>
  </si>
  <si>
    <t>Gabon</t>
  </si>
  <si>
    <t>Sao Tome and Principe</t>
  </si>
  <si>
    <t>Botswana</t>
  </si>
  <si>
    <t>Lesotho</t>
  </si>
  <si>
    <t>Namibia</t>
  </si>
  <si>
    <t>Swaziland</t>
  </si>
  <si>
    <t>Benin</t>
  </si>
  <si>
    <t>Burkina Faso</t>
  </si>
  <si>
    <t>Cabo Verde</t>
  </si>
  <si>
    <t>Côte d'Ivoire</t>
  </si>
  <si>
    <t>Gambia</t>
  </si>
  <si>
    <t>Mauritania</t>
  </si>
  <si>
    <t>Niger</t>
  </si>
  <si>
    <t>Senegal</t>
  </si>
  <si>
    <t>Sierra Leone</t>
  </si>
  <si>
    <t>Togo</t>
  </si>
  <si>
    <t>Belarus</t>
  </si>
  <si>
    <t>Slovakia</t>
  </si>
  <si>
    <t>Norway</t>
  </si>
  <si>
    <t>United Kingdom and Northern Ireland</t>
  </si>
  <si>
    <t>Bosnia and Herzegovina</t>
  </si>
  <si>
    <t>Malta</t>
  </si>
  <si>
    <t>Montenegro</t>
  </si>
  <si>
    <t>Republic of Macedonia</t>
  </si>
  <si>
    <t>Austria</t>
  </si>
  <si>
    <t>Belgium</t>
  </si>
  <si>
    <t>Luxembourg</t>
  </si>
  <si>
    <t>Caribbean</t>
  </si>
  <si>
    <t>Anguilla</t>
  </si>
  <si>
    <t>Antigua and Barbuda</t>
  </si>
  <si>
    <t>Bahamas</t>
  </si>
  <si>
    <t>Barbados</t>
  </si>
  <si>
    <t>Cuba</t>
  </si>
  <si>
    <t>Dominica</t>
  </si>
  <si>
    <t>Dominican Republic</t>
  </si>
  <si>
    <t>Grenada</t>
  </si>
  <si>
    <t>Guadeloupe</t>
  </si>
  <si>
    <t>Haiti</t>
  </si>
  <si>
    <t>Saint Kitts and Nevis</t>
  </si>
  <si>
    <t>Saint Lucia</t>
  </si>
  <si>
    <t>Saint Vincent and the Grenadines</t>
  </si>
  <si>
    <t>Trinidad and Tobago</t>
  </si>
  <si>
    <t>Central America</t>
  </si>
  <si>
    <t>Belize</t>
  </si>
  <si>
    <t>Costa Rica</t>
  </si>
  <si>
    <t>El Salvador</t>
  </si>
  <si>
    <t>Guatemala</t>
  </si>
  <si>
    <t>Honduras</t>
  </si>
  <si>
    <t>Panama</t>
  </si>
  <si>
    <t>Bolivia</t>
  </si>
  <si>
    <t>Chile</t>
  </si>
  <si>
    <t>Colombia</t>
  </si>
  <si>
    <t>Ecuador</t>
  </si>
  <si>
    <t>French Guiana</t>
  </si>
  <si>
    <t>Guyana</t>
  </si>
  <si>
    <t>Paraguay</t>
  </si>
  <si>
    <t>Suriname</t>
  </si>
  <si>
    <t>Uruguay</t>
  </si>
  <si>
    <t>Venezuela</t>
  </si>
  <si>
    <t>Bermuda</t>
  </si>
  <si>
    <t>Melanesia</t>
  </si>
  <si>
    <t>Fiji</t>
  </si>
  <si>
    <t>Solomon Islands</t>
  </si>
  <si>
    <t>Vanuatu</t>
  </si>
  <si>
    <t>Polynesia</t>
  </si>
  <si>
    <t>Tonga</t>
  </si>
  <si>
    <t>Waste generation</t>
  </si>
  <si>
    <t>Country</t>
  </si>
  <si>
    <t>Central_Asia</t>
  </si>
  <si>
    <t>Eastern_Asia</t>
  </si>
  <si>
    <t>South_Eastern_Asia</t>
  </si>
  <si>
    <t>Southern_Asia</t>
  </si>
  <si>
    <t>Western_Asia</t>
  </si>
  <si>
    <t>Northern_Africa</t>
  </si>
  <si>
    <t>Eastern_Africa</t>
  </si>
  <si>
    <t>Middle_Africa</t>
  </si>
  <si>
    <t>Southern_Africa</t>
  </si>
  <si>
    <t>Western_Africa</t>
  </si>
  <si>
    <t>Eastern_Europe</t>
  </si>
  <si>
    <t>Northern_Europe</t>
  </si>
  <si>
    <t>Southern_Europe</t>
  </si>
  <si>
    <t>Western_Europe</t>
  </si>
  <si>
    <t>Central_America</t>
  </si>
  <si>
    <t>South_America</t>
  </si>
  <si>
    <t>Northern_America</t>
  </si>
  <si>
    <r>
      <t>Managed*</t>
    </r>
    <r>
      <rPr>
        <sz val="10"/>
        <rFont val="Arial"/>
        <family val="2"/>
      </rPr>
      <t xml:space="preserve"> covered with CH4 oxidizing material</t>
    </r>
  </si>
  <si>
    <r>
      <t>Managed*</t>
    </r>
    <r>
      <rPr>
        <sz val="10"/>
        <rFont val="Arial"/>
        <family val="2"/>
      </rPr>
      <t>, unmanaged and uncategorized SWDS</t>
    </r>
  </si>
  <si>
    <t>Default values</t>
  </si>
  <si>
    <t>Methane content</t>
  </si>
  <si>
    <t>Default when CH4 recovery is estimated on the basis of the number of SWDS with landfill gas recovery</t>
  </si>
  <si>
    <t>When the amount of CH4 recovered is based on the total capacity of utilisation equipment or flares sold --&gt;35% of the installed capacitites</t>
  </si>
  <si>
    <t>"The default value for CH4 recovery is zero. CH4 recovery should be reported only when references documenting the amount of CH4 recovery are available."</t>
  </si>
  <si>
    <t>Methane recovery (Gg)</t>
  </si>
  <si>
    <t>"Indirect methods might be based on the number of SWDS in a country with CH4 collection or the total capacity of utilisation equipment or flaring capacity sold."</t>
  </si>
  <si>
    <t>IPCC 2019</t>
  </si>
  <si>
    <t>Data sheet with emission factors</t>
  </si>
  <si>
    <t>Overview of this worksheet</t>
  </si>
  <si>
    <t>1.</t>
  </si>
  <si>
    <t>2.</t>
  </si>
  <si>
    <t>3.</t>
  </si>
  <si>
    <t>4.</t>
  </si>
  <si>
    <t>5.</t>
  </si>
  <si>
    <t>Data are based on weight of wet waste of MSW without industrial waste at generation around year 2010</t>
  </si>
  <si>
    <t>Global Warming Potential (GWP)</t>
  </si>
  <si>
    <t>Source: IPCC 2006, V5, Ch2, Table 2.4</t>
  </si>
  <si>
    <t>% of total carbon</t>
  </si>
  <si>
    <t>Emission savings potential</t>
  </si>
  <si>
    <t>Oceania</t>
  </si>
  <si>
    <t>Gas/Diesel Oil</t>
  </si>
  <si>
    <t>DOC content in % of wet waste</t>
  </si>
  <si>
    <t>DOC content in % of dry waste</t>
  </si>
  <si>
    <t>Fossil carbon in scattered waste</t>
  </si>
  <si>
    <t>MBT aerobic + further treatment</t>
  </si>
  <si>
    <t>MBT anaerobic + further treatment</t>
  </si>
  <si>
    <t>Methane correction factor (MCF)</t>
  </si>
  <si>
    <t>IPCC Default</t>
  </si>
  <si>
    <t>not covered</t>
  </si>
  <si>
    <t>covered</t>
  </si>
  <si>
    <t>Mechancial-biological treatment plants</t>
  </si>
  <si>
    <t>Non-ferrous metals</t>
  </si>
  <si>
    <t>Impurities to incineration plant</t>
  </si>
  <si>
    <t>RDF for thermal treatment</t>
  </si>
  <si>
    <t>RDF for co-incineration (cement kiln)</t>
  </si>
  <si>
    <t>Losses</t>
  </si>
  <si>
    <t>Output to landfill</t>
  </si>
  <si>
    <t>Biogas generated</t>
  </si>
  <si>
    <t>Please indicate here the characteristics for RDF</t>
  </si>
  <si>
    <t>in % of wet waste</t>
  </si>
  <si>
    <t>Net calorific value</t>
  </si>
  <si>
    <t>Output fractions MBT aerobic</t>
  </si>
  <si>
    <t>Output fractions MBT anaerobic</t>
  </si>
  <si>
    <t>RDF from aerobic MBT</t>
  </si>
  <si>
    <t>Output fractions MBS</t>
  </si>
  <si>
    <t>Biogas use</t>
  </si>
  <si>
    <t>RDF from anaerobic MBT</t>
  </si>
  <si>
    <t>RDF from MBS</t>
  </si>
  <si>
    <t>Recycling, composting, anaerobic digestion (AD)</t>
  </si>
  <si>
    <t>Oxidation factor (OX)</t>
  </si>
  <si>
    <t>Organic waste composting and/or anaerobic digestion</t>
  </si>
  <si>
    <t>Anaerobically digested</t>
  </si>
  <si>
    <t>in m³/ton organic waste</t>
  </si>
  <si>
    <t>in Vol%</t>
  </si>
  <si>
    <t xml:space="preserve">Biogas  </t>
  </si>
  <si>
    <t>Electricity, heat generation (CHP)</t>
  </si>
  <si>
    <t>Anthracite</t>
  </si>
  <si>
    <t>Lignite</t>
  </si>
  <si>
    <t xml:space="preserve">https://www.ipcc-nggip.iges.or.jp/public/2006gl/pdf/2_Volume2/V2_2_Ch2_Stationary_Combustion.pdf </t>
  </si>
  <si>
    <t>Effective combustion in high temperatures assumed</t>
  </si>
  <si>
    <t>Values in kg of GHG per TJ on a net calorific basis</t>
  </si>
  <si>
    <t>CO2e</t>
  </si>
  <si>
    <t>Fuel</t>
  </si>
  <si>
    <t>Default EF</t>
  </si>
  <si>
    <t>Lower</t>
  </si>
  <si>
    <t>Upper</t>
  </si>
  <si>
    <t>in g/kWh fuel</t>
  </si>
  <si>
    <t>Thermal Energy, emission factor to caclulate emission savings potentials</t>
  </si>
  <si>
    <t>g CO2e/kWhth</t>
  </si>
  <si>
    <t>50% natural gas, 50% fuel oil, conversion factor 90%</t>
  </si>
  <si>
    <t>Afghanistan</t>
  </si>
  <si>
    <t>Albania</t>
  </si>
  <si>
    <t>American Samoa (U.S.)</t>
  </si>
  <si>
    <t>Andorra</t>
  </si>
  <si>
    <t>Anguilla (U.K.)</t>
  </si>
  <si>
    <t>Aruba</t>
  </si>
  <si>
    <t>Azerbaijan</t>
  </si>
  <si>
    <t>Azores (Portugal)</t>
  </si>
  <si>
    <t>Bermuda (U.K.)</t>
  </si>
  <si>
    <t>Bolivia, Plurinational State of</t>
  </si>
  <si>
    <t>Bonaire (Netherland)</t>
  </si>
  <si>
    <t>British Virgin Islands (U.K.)</t>
  </si>
  <si>
    <t>Canary Islands (Spain)</t>
  </si>
  <si>
    <t>Cape Verde</t>
  </si>
  <si>
    <t>Cayman Islands</t>
  </si>
  <si>
    <t>Channel Islands (U.K)</t>
  </si>
  <si>
    <t>China (PRC and Hong Kong)</t>
  </si>
  <si>
    <t>Congo, Democratic Republic of</t>
  </si>
  <si>
    <t>Congo, Republic of</t>
  </si>
  <si>
    <t>Cook Islands</t>
  </si>
  <si>
    <t>Curacao/Netherlands Antilles</t>
  </si>
  <si>
    <t>Czech Republic</t>
  </si>
  <si>
    <t>Djibouti</t>
  </si>
  <si>
    <t>Equatorial Guinea</t>
  </si>
  <si>
    <t>Eswatini</t>
  </si>
  <si>
    <t>Falkland Islands (U.K.)</t>
  </si>
  <si>
    <t>Faroe Islands (Denmark)</t>
  </si>
  <si>
    <t>French Polynesia</t>
  </si>
  <si>
    <t>Gibraltar (U.K.)</t>
  </si>
  <si>
    <t>Greenland</t>
  </si>
  <si>
    <t>Guadeloupe (France)</t>
  </si>
  <si>
    <t>Guam</t>
  </si>
  <si>
    <t>Guinea</t>
  </si>
  <si>
    <t>Guinea-Bissau</t>
  </si>
  <si>
    <t>Iran, Islamic Republic of</t>
  </si>
  <si>
    <t>Isle of Man (U.K.)</t>
  </si>
  <si>
    <t>Kiribati</t>
  </si>
  <si>
    <t>Korea (North), Democratic People's Republic of</t>
  </si>
  <si>
    <t>Korea (South), Republic of</t>
  </si>
  <si>
    <t>Kosovo</t>
  </si>
  <si>
    <t>Kyrgyzstan</t>
  </si>
  <si>
    <t>Liberia</t>
  </si>
  <si>
    <t>Liechtenstein</t>
  </si>
  <si>
    <t>Madeira (Portugal)</t>
  </si>
  <si>
    <t>Marshall Islands</t>
  </si>
  <si>
    <t>Martinique (France)</t>
  </si>
  <si>
    <t>Mayotte (France)</t>
  </si>
  <si>
    <t>Micronesia</t>
  </si>
  <si>
    <t xml:space="preserve">Moldova, Republic of </t>
  </si>
  <si>
    <t>Monaco</t>
  </si>
  <si>
    <t>Montserrat</t>
  </si>
  <si>
    <t>Nauru</t>
  </si>
  <si>
    <t>New Caledonia (France)</t>
  </si>
  <si>
    <t>Niue</t>
  </si>
  <si>
    <t>North Macedonia, Republic of</t>
  </si>
  <si>
    <t>Northern Mariana Islands (U.S.)</t>
  </si>
  <si>
    <t>Palau</t>
  </si>
  <si>
    <t>Palestinian Authority</t>
  </si>
  <si>
    <t>Papua New Guinea</t>
  </si>
  <si>
    <t>Puerto Rico (U.S.)</t>
  </si>
  <si>
    <t>Reunion (France)</t>
  </si>
  <si>
    <t>Saint Helena (U.K.)</t>
  </si>
  <si>
    <t>Saint Martin (France)</t>
  </si>
  <si>
    <t>Saint Pierre and Miquelon (France)</t>
  </si>
  <si>
    <t>Saint Vincent and Grenadines</t>
  </si>
  <si>
    <t>Samoa</t>
  </si>
  <si>
    <t>San Marino</t>
  </si>
  <si>
    <t>Sao Tomé &amp; Principe</t>
  </si>
  <si>
    <t>Sint Martin (Netherlands)</t>
  </si>
  <si>
    <t>Slovak Republic</t>
  </si>
  <si>
    <t>Somalia</t>
  </si>
  <si>
    <t>South Sudan</t>
  </si>
  <si>
    <t>Taiwan (Chinese Taipei)</t>
  </si>
  <si>
    <t>Tanzania, United Republic of</t>
  </si>
  <si>
    <t>Timor-Leste</t>
  </si>
  <si>
    <t>Turks and Caicos Islands (U.K.)</t>
  </si>
  <si>
    <t>Tuvalu</t>
  </si>
  <si>
    <t>United Kingdom</t>
  </si>
  <si>
    <t>United States</t>
  </si>
  <si>
    <t>Vanatu</t>
  </si>
  <si>
    <t>Venezuela, Bolivarian Republic of</t>
  </si>
  <si>
    <t>Virgin Islands (U.S.)</t>
  </si>
  <si>
    <t>Yemen</t>
  </si>
  <si>
    <t xml:space="preserve">https://unfccc.int/climate-action/sectoral-engagement/ifis-harmonization-of-standards-for-ghg-accounting/ifi-twg-list-of-methodologies </t>
  </si>
  <si>
    <t>t CO2e/yr</t>
  </si>
  <si>
    <t>Source: IPCC 2021, AR6</t>
  </si>
  <si>
    <t>Waste treatment</t>
  </si>
  <si>
    <t>MBS + further treatment</t>
  </si>
  <si>
    <t>MBTaerobic/treatm</t>
  </si>
  <si>
    <t>MBTanaerobic/treatm</t>
  </si>
  <si>
    <t>EF Strom</t>
  </si>
  <si>
    <t>Electricity Consumption [g CO2/kWh]</t>
  </si>
  <si>
    <t>x</t>
  </si>
  <si>
    <t>MSW to SWDS (open dump)</t>
  </si>
  <si>
    <t>MSW to landfill</t>
  </si>
  <si>
    <t>MSW incinerated</t>
  </si>
  <si>
    <t>MSW composted</t>
  </si>
  <si>
    <t>Other MSW management</t>
  </si>
  <si>
    <t>Electricity consumption</t>
  </si>
  <si>
    <t>Changes in the tables:</t>
  </si>
  <si>
    <t>Caribbean/Central America</t>
  </si>
  <si>
    <r>
      <t xml:space="preserve">Population </t>
    </r>
    <r>
      <rPr>
        <sz val="10"/>
        <rFont val="Arial"/>
        <family val="2"/>
      </rPr>
      <t>(in millions)</t>
    </r>
  </si>
  <si>
    <t>Select Country</t>
  </si>
  <si>
    <t>DSW-Datenreport 2021</t>
  </si>
  <si>
    <t xml:space="preserve">https://www.dsw.org/wp-content/uploads/2021/10/DSW-Datenreport_2021_web.pdf </t>
  </si>
  <si>
    <t>Default country value</t>
  </si>
  <si>
    <t>Electricity consumption, waste generation, waste composition, population, climate zone by country</t>
  </si>
  <si>
    <t>Country-specific GHG electricity emission factor</t>
  </si>
  <si>
    <t>Bibliography</t>
  </si>
  <si>
    <t>Abbreviation</t>
  </si>
  <si>
    <t>Detailed references</t>
  </si>
  <si>
    <t>AEA Technology 2001</t>
  </si>
  <si>
    <t>Smith, A., Brown, K., Oglivie, S., Rushton, K. and Bates, J. (AEA Technologies) (2001): Waste management options and climate change. Final report to the European Commission, DG Environment. Office for Official Publications of the European Communities, Luxembourg (2001). Online available at http://ec.europa.eu/environment/waste/studies/pdf/climate_change.pdf</t>
  </si>
  <si>
    <t>ifeu 2009 SWM-GHG-Calculator</t>
  </si>
  <si>
    <t xml:space="preserve">Knappe, F., Vogt, R., Lazar, S. Höke, S. (2012): Optimierung der Verwertung organischer Abfälle. UBA-Texte 31/2012, FKZ 3709 33 340. In Zusammenarbeit mit ahu AG </t>
  </si>
  <si>
    <t xml:space="preserve">IPCC 2006  </t>
  </si>
  <si>
    <t>IPCC (2006): Guidelines for National Greenhouse Gas Inventories</t>
  </si>
  <si>
    <t>IPCC 2013</t>
  </si>
  <si>
    <t>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t>
  </si>
  <si>
    <t>Dehoust, G., Schüler, D., Vogt, R., Giegrich, J. (2010): Klimaschutzpotenziale der Abfallwirtschaft. Am Beispiel von Siedlungsabfällen und Altholz. UBA-Text 06/2010, FKZ 3708 31 302. (Also available in English: Climate Protection Potentials in the Waste Management Sector. Examples: Municipal Solid Waste and Waste Wood. UBA-Texte 61/2010, Project No. (FKZ) 3708 31 302. https://www.umweltbundesamt.de/publikationen/climate-protection-potential-in-waste-management).</t>
  </si>
  <si>
    <t>Prognos et al. 2008</t>
  </si>
  <si>
    <t>Prognos et al. (2008): Resource savings and CO2-reduction potential in waste management in Europe and the possible contribution to the CO2 reduction target in 2020. Prognos AG Berlin, IFEU Heidelberg, INFU TU Dortmund. Multi client study</t>
  </si>
  <si>
    <t>UBA 2015a</t>
  </si>
  <si>
    <t>Vogt, R., Derreza-Greeven, C., Giegrich, J., Dehoust, G., Möck, A., Merz, C. (2015): Klimaschutzpotenziale der Abfallwirtschaft - Darstellung der Potenziale zur Verringerung der Treibhausgasemission aus dem Abfallsektor in den OECD Staaten und ausgewählten Schwellenländern; Nutzung der Erkenntnisse im Abfalltechniktransfer. UBA-Texte 46/2015, FKZ 3711 33 311. https://www.umweltbundesamt.de/en/publikationen/klimaschutzpotenziale-der-abfallwirtschaft (Also available in English: The Climate Change Mitigation Potential of the Waste Sector. Illustration of the potential for mitigation of greenhouse gas emissions from the waste sector in OECD countries and selected emerging economies; Utilisation of the findings in waste technology transfer. UBA-Texte 56/2015, Project No. (FKZ) 3711 33 311. https://www.umweltbundesamt.de/en/publikationen/the-climate-change-mitigation-potential-of-the).</t>
  </si>
  <si>
    <t>UBA 2015b</t>
  </si>
  <si>
    <t>Cuhls, C., Mähl, B., Clemens, J.: Ermittlung der Emissionssituation bei der Verwertung von Bioabfällen. UBA-Texte 39/2015, FKZ 206 33 326, 3709 44 320</t>
  </si>
  <si>
    <t>IPCC 2021</t>
  </si>
  <si>
    <t>IPCC_AR6_WGI_Chapter_07, Table 7.15</t>
  </si>
  <si>
    <t>DSW 2021</t>
  </si>
  <si>
    <t>EF savings potential</t>
  </si>
  <si>
    <t>debits</t>
  </si>
  <si>
    <t>credits</t>
  </si>
  <si>
    <t>Solid Waste Disposal</t>
  </si>
  <si>
    <t>IPCC guidelines default values</t>
  </si>
  <si>
    <t>Bulk waste</t>
  </si>
  <si>
    <t>Default value used for calculations</t>
  </si>
  <si>
    <t>Managed poorly - semi-aerobic*</t>
  </si>
  <si>
    <t>Managed well - active aeration*</t>
  </si>
  <si>
    <t>Managed poorly - active-aeration*</t>
  </si>
  <si>
    <t>*new with IPCC 2019; (not considered in calculations in IPCC 2019 Tool)</t>
  </si>
  <si>
    <t>Dry matter and carbon content</t>
  </si>
  <si>
    <t>C total in % wet waste</t>
  </si>
  <si>
    <t>C fossil in % of total carbon</t>
  </si>
  <si>
    <t>Calculation values</t>
  </si>
  <si>
    <t>Other, inert waste</t>
  </si>
  <si>
    <t>Organic waste , low water content</t>
  </si>
  <si>
    <t>Organic waste , high water content</t>
  </si>
  <si>
    <t>IPCC 2006, V5, Ch2, Table 2.4; no refinement in IPCC 2019</t>
  </si>
  <si>
    <t>LCA Results</t>
  </si>
  <si>
    <t>Emission values recycling</t>
  </si>
  <si>
    <t>Global Warming Potential (GWP) factors (IPCC)</t>
  </si>
  <si>
    <t>Default emission factors, Stationary Combustion (IPCC)</t>
  </si>
  <si>
    <t>Emission values recycling (ifeu)</t>
  </si>
  <si>
    <t>Landfill options</t>
  </si>
  <si>
    <t>Gas/Diesel oil</t>
  </si>
  <si>
    <t>g CO2e/kWh electricity</t>
  </si>
  <si>
    <t>g CO2e/kWh heat</t>
  </si>
  <si>
    <t>g CO2e/kWh fuel</t>
  </si>
  <si>
    <t>Landfilling</t>
  </si>
  <si>
    <t>Result:</t>
  </si>
  <si>
    <t>weighted MCF</t>
  </si>
  <si>
    <t>Note: "While there is not any periodical monitoring or relevant information for management status of SWDS, it should be treated conservatively as poorly managed."</t>
  </si>
  <si>
    <t>Degradable carbon in total waste generated</t>
  </si>
  <si>
    <t>Waste amount recycled in tonnes/yr</t>
  </si>
  <si>
    <t>OX, for sanitary, well-managed landfills (otherwise 0)</t>
  </si>
  <si>
    <t>kg CO2/t</t>
  </si>
  <si>
    <t>Calculation composting, anaerobic digestion</t>
  </si>
  <si>
    <t>g CO2e/kWh</t>
  </si>
  <si>
    <t>kg/kg CO2e</t>
  </si>
  <si>
    <t>Emission values composting, anaerobic digestion</t>
  </si>
  <si>
    <t>IPCC 2006, V5, Ch4, Table 4.1 (no 2019 refinement)</t>
  </si>
  <si>
    <t>IPCC 2006, V2, Ch2, Table 2.2 (no 2019 refinement)</t>
  </si>
  <si>
    <t>Default emission factors for stationary combustion in the energy industries</t>
  </si>
  <si>
    <t>Default emission factors for CH4 and N2O emissions from biological treatment of waste</t>
  </si>
  <si>
    <t>CH4 Emission Factors</t>
  </si>
  <si>
    <t>Type of biological treatment</t>
  </si>
  <si>
    <t>N2O Emission Factors</t>
  </si>
  <si>
    <t>on a wet waste basis</t>
  </si>
  <si>
    <t>in g CH4/kg waste treated</t>
  </si>
  <si>
    <t>in g N2O/kg waste treated</t>
  </si>
  <si>
    <t>Anaerobic digestion of biogas facilities</t>
  </si>
  <si>
    <t>Emission from MB treatment can be estimated using the default values in Table 4.1 for the biological treatment.</t>
  </si>
  <si>
    <t>Emissions during mechanical operations can be assumed negligible</t>
  </si>
  <si>
    <t>Emission values composting, anaerobic digestion (IPCC)</t>
  </si>
  <si>
    <t>6.</t>
  </si>
  <si>
    <t>Emissions savings potential</t>
  </si>
  <si>
    <t>Electricity demand</t>
  </si>
  <si>
    <t>Diesel demand</t>
  </si>
  <si>
    <t>kg/l</t>
  </si>
  <si>
    <t>Diesel, density</t>
  </si>
  <si>
    <t>Diesel, calorific value</t>
  </si>
  <si>
    <t>MJ/kg FS</t>
  </si>
  <si>
    <t>Methane, calorific value</t>
  </si>
  <si>
    <t>Methane, density</t>
  </si>
  <si>
    <t>Composting, ratio of 50% open and 50% encapsulated composting plants</t>
  </si>
  <si>
    <t>kg CH4/t waste</t>
  </si>
  <si>
    <t>CH4 emissions (IPCC default values)</t>
  </si>
  <si>
    <t>N2O emissions (IPCC default values)</t>
  </si>
  <si>
    <t>kg N2O/t waste</t>
  </si>
  <si>
    <t>Characteristics</t>
  </si>
  <si>
    <t>Physical parameters</t>
  </si>
  <si>
    <t>Organic waste composted and/or anaerobically digested</t>
  </si>
  <si>
    <t>GHG calculation</t>
  </si>
  <si>
    <t>kg CO2e/t waste</t>
  </si>
  <si>
    <t>Source</t>
  </si>
  <si>
    <t>unchanged from previous version, no relevant changes</t>
  </si>
  <si>
    <t>Prognos/IFEU/INFU 2008</t>
  </si>
  <si>
    <t>direct emissions unchanged (similar); emission savings potential lower</t>
  </si>
  <si>
    <t>direct emissions little higher, emission savings potentials lower</t>
  </si>
  <si>
    <t>Share of recycling in % total waste generated</t>
  </si>
  <si>
    <t>Deincing</t>
  </si>
  <si>
    <t>Melting</t>
  </si>
  <si>
    <t>Fe-metals</t>
  </si>
  <si>
    <t>Calculated</t>
  </si>
  <si>
    <t>Emission values for recyclables</t>
  </si>
  <si>
    <t xml:space="preserve">N2O emissions </t>
  </si>
  <si>
    <t>kWh/t compost</t>
  </si>
  <si>
    <t>kg N/kg compost</t>
  </si>
  <si>
    <t>kg compost/kg organic waste composted</t>
  </si>
  <si>
    <t>kWh/Nm³</t>
  </si>
  <si>
    <t>Biomethane</t>
  </si>
  <si>
    <t>Electricity demand CO2 separation</t>
  </si>
  <si>
    <t>kWh/m³ biogas input</t>
  </si>
  <si>
    <t xml:space="preserve">kg CO2e/t </t>
  </si>
  <si>
    <t>Methane yield, net (=yield minus energy demand AD plant)</t>
  </si>
  <si>
    <t>Methane loss to atmosphere CO2 separation</t>
  </si>
  <si>
    <t>Biogas use CHP</t>
  </si>
  <si>
    <t>Biomethane (CO2 separation)</t>
  </si>
  <si>
    <t>m³CH4/t waste</t>
  </si>
  <si>
    <t>Diesel demand sanitary landfill</t>
  </si>
  <si>
    <t>Efficiency gas collection</t>
  </si>
  <si>
    <t>Waste amount disposed of in tonnes/yr</t>
  </si>
  <si>
    <t>Parameters</t>
  </si>
  <si>
    <t>Methane emitted to air</t>
  </si>
  <si>
    <t>Methane collected</t>
  </si>
  <si>
    <t>CHP</t>
  </si>
  <si>
    <t>Biomethane generation</t>
  </si>
  <si>
    <t>kg CO2e/t</t>
  </si>
  <si>
    <t>Compost generation &amp; use</t>
  </si>
  <si>
    <t>CDM 2022</t>
  </si>
  <si>
    <t>kg/m³</t>
  </si>
  <si>
    <t>N2O emissions</t>
  </si>
  <si>
    <t>For comparison values Germany (NIR, Source mean values Cuhls et al. 2015)</t>
  </si>
  <si>
    <t>Use of auxiliary and operating materials</t>
  </si>
  <si>
    <t>Dehoust et al. 2010</t>
  </si>
  <si>
    <t>Emission values incineration</t>
  </si>
  <si>
    <t>IPCC 2019, V5, Ch5, Table 5.3 and 5.4</t>
  </si>
  <si>
    <t>IPCC provides examples of CH4 and N2O emissions for incineration as a function of the type of technology</t>
  </si>
  <si>
    <t>N2O emission factors</t>
  </si>
  <si>
    <t>in g N2O/t MSW incinerated</t>
  </si>
  <si>
    <t>Germany (2003)</t>
  </si>
  <si>
    <t>Netherlands (2003)</t>
  </si>
  <si>
    <t>Austria (2004)</t>
  </si>
  <si>
    <t>Japan (2005), continous incineration, stoker</t>
  </si>
  <si>
    <t>Stöcklein et al. 2018</t>
  </si>
  <si>
    <t>Stöcklein, F., Tebert, C., Töfge, K. (2018): Evaluation und Minderung klimarelevanter Gase aus Abfallverbrennungsanlagen. Im Auftrag des Umweltbundesamtes. UBA-Texte 102/2018</t>
  </si>
  <si>
    <t>13 - 20</t>
  </si>
  <si>
    <t>N2O emission values</t>
  </si>
  <si>
    <t>g N2O/t MSW incinerated</t>
  </si>
  <si>
    <t>CH4 emissions are neglected due to low concentrations and high uncertainties</t>
  </si>
  <si>
    <t>IPCC N2O emission factors are listed in the following</t>
  </si>
  <si>
    <t xml:space="preserve">For comparison recent measurement results for 1 plant in Germany (Stöcklein et al. 2018) are: </t>
  </si>
  <si>
    <t>Emission savings potential incineration</t>
  </si>
  <si>
    <t>Degraded and released carbon (DOCf)</t>
  </si>
  <si>
    <t>Regenerative carbon in landfilled waste (DOC)</t>
  </si>
  <si>
    <t>Managed landfill without gas collection</t>
  </si>
  <si>
    <t>CH4 emissions (IPCC default values for composting)</t>
  </si>
  <si>
    <t>N2O emissions (IPCC default values for composting)</t>
  </si>
  <si>
    <t>Emission values incineration (IPCC)</t>
  </si>
  <si>
    <t>7.</t>
  </si>
  <si>
    <t>Impurities to incineration</t>
  </si>
  <si>
    <t>RDF energy use</t>
  </si>
  <si>
    <t>Emission savings potential  incineration MSWI plant</t>
  </si>
  <si>
    <t>kJ/kg</t>
  </si>
  <si>
    <t>Emission savings potential  RDF thermal treatment</t>
  </si>
  <si>
    <t>wet waste</t>
  </si>
  <si>
    <t>MJ/kg waste</t>
  </si>
  <si>
    <t>Emission savings potential  RDF co-incineration</t>
  </si>
  <si>
    <t>Coal (lignite)</t>
  </si>
  <si>
    <t>Emission savings potential MBT aerobic + further treatment</t>
  </si>
  <si>
    <t>Methane yield, net</t>
  </si>
  <si>
    <t>m³ CH4/t input</t>
  </si>
  <si>
    <t>Emission savings potential MBT anaerobic + further treatment</t>
  </si>
  <si>
    <t>MBS/treatm</t>
  </si>
  <si>
    <t>Total recycling &amp; disposal</t>
  </si>
  <si>
    <t>IFI 2022</t>
  </si>
  <si>
    <t>Knappe et al. 2012</t>
  </si>
  <si>
    <t>Vogt, R., Giegrich, J. (2009): Tool for calculating Greenhouse Gases (GHG) in Solid Waste Management (SWM) „SWM-GHG Calculator“ (Klimarechner Abfallwirtschaft). Im Auftrag der KfW Entwicklungsbank in Kooperation mit der GTZ. https://www.ifeu.de/projekt/klimarechner-abfallwirtschaft/</t>
  </si>
  <si>
    <t>IPCC (2021): AR6 Climate Change 2021: The Physical Science Basis. https://www.ipcc.ch/report/ar6/wg1/#TS</t>
  </si>
  <si>
    <t>Vogt et al. (in publication)</t>
  </si>
  <si>
    <t>Vogt et al. (in publication); rounded values</t>
  </si>
  <si>
    <t>ifeu</t>
  </si>
  <si>
    <t>DSW-Datenreport 2021. Soziale und demografische Daten weltweit. Deutsche Stiftung Weltbevölkerung (Hrsg.). https://www.dsw.org/wp-content/uploads/2021/10/DSW-Datenreport_2021_web.pdf</t>
  </si>
  <si>
    <t>IPCC (2019): 2019 Refinement to the 2006 IPCC Guidelines for National Greenhouse Gas Inventories. https://www.ipcc-nggip.iges.or.jp/public/2019rf/index.html</t>
  </si>
  <si>
    <t>IFI TWG - List of methodologies. List of harmonized GHG accounting standards/approaches and guidelines developed. https://unfccc.int/climate-action/sectoral-engagement/ifis-harmonization-of-standards-for-ghg-accounting/ifi-twg-list-of-methodologies (Mrz 2022)</t>
  </si>
  <si>
    <t>Flamme et al. 2018</t>
  </si>
  <si>
    <t>Flamme, S., Hanewinkel, J., Quicker, P., Weber, K.: Energieerzeugung aus Abfällen. Stand und Potenziale in Deutschland bis 2030. Umweltbundesamt, Dessau-Roßlau, UBA-Texte 51/2018. https://www.umweltbundesamt.de/sites/default/files/medien/1410/publikationen/2018-06-26_texte_51-2018_energieerzeugung-abfaelle.pdf</t>
  </si>
  <si>
    <t>Attention: "1" can only be in one of the cells</t>
  </si>
  <si>
    <t>Value for calculation</t>
  </si>
  <si>
    <t>For anaerobic digestion the IPCC default values are outdated (sources from 2005 and earlier) and are not considered as representative for MBT anaerobic</t>
  </si>
  <si>
    <t xml:space="preserve">For MB treatment the IPCC default values for biological treatment are only used for MBT aerobic </t>
  </si>
  <si>
    <t>MBT anaerobic</t>
  </si>
  <si>
    <t>MBS</t>
  </si>
  <si>
    <t>Type of MB treatment</t>
  </si>
  <si>
    <t>MBT aerobic</t>
  </si>
  <si>
    <t>Managed but not covered with CH4 aerated material</t>
  </si>
  <si>
    <t>Examples: soil, compost</t>
  </si>
  <si>
    <t>MSW generation rate</t>
  </si>
  <si>
    <t>ifeu contact</t>
  </si>
  <si>
    <t>Regine Vogt, Noora Harju</t>
  </si>
  <si>
    <t>Notes</t>
  </si>
  <si>
    <t>drop-down list:</t>
  </si>
  <si>
    <t>The tool includes the following sheets:</t>
  </si>
  <si>
    <t>Basic information, specifications of waste and country-specific electricity grid</t>
  </si>
  <si>
    <t>Calculation</t>
  </si>
  <si>
    <t>Factors</t>
  </si>
  <si>
    <t>Costs results all</t>
  </si>
  <si>
    <t>LCA results all</t>
  </si>
  <si>
    <t>Results in overview of the up to 4 scenarios</t>
  </si>
  <si>
    <t>LCA SQ, LCA Sc(1-3)</t>
  </si>
  <si>
    <t>Compost-like output (CLO)</t>
  </si>
  <si>
    <t>Literature references</t>
  </si>
  <si>
    <r>
      <t xml:space="preserve">Type of </t>
    </r>
    <r>
      <rPr>
        <b/>
        <sz val="10"/>
        <color theme="9"/>
        <rFont val="Arial"/>
        <family val="2"/>
      </rPr>
      <t>primary</t>
    </r>
    <r>
      <rPr>
        <b/>
        <sz val="10"/>
        <rFont val="Arial"/>
        <family val="2"/>
      </rPr>
      <t xml:space="preserve"> waste treatment and disposal</t>
    </r>
  </si>
  <si>
    <t>Open burning of waste (incl. landfill fires)</t>
  </si>
  <si>
    <t>Dry recyclables for recycling</t>
  </si>
  <si>
    <t>Emission savings potential dry recyclables</t>
  </si>
  <si>
    <t>Emission savings potential CLO = 0 (no substitution effect)</t>
  </si>
  <si>
    <t>compost-like output = no further methane emissions aerobic conditions</t>
  </si>
  <si>
    <t>Rough estimate: corresponds to GHG emissions from anaerobic digestion plus GHG emissions from post-composting of digestate (0.5 kg digestate/t input)</t>
  </si>
  <si>
    <t>Rough estimate: only half of IPCC default emission values for open composting</t>
  </si>
  <si>
    <t>Characterisation factors</t>
  </si>
  <si>
    <t>The waste collection is not included in the tool as it will have to take place in any case.</t>
  </si>
  <si>
    <t>Background data and emission factors, read-only</t>
  </si>
  <si>
    <t>Specification of costs for the recycling, treatment and disposal of waste</t>
  </si>
  <si>
    <t>Results of absolute and mitigation costs</t>
  </si>
  <si>
    <t>This worksheet can be used for notes.</t>
  </si>
  <si>
    <t>Source: IPCC 2019, see worksheet "Factors"</t>
  </si>
  <si>
    <t>Source: DSW 2021, see worksheet "Factors"</t>
  </si>
  <si>
    <t>GHG emissions are converted into carbon dioxide equivalents, called CO2e, using IPCC Global Warming Potentials (GWP).</t>
  </si>
  <si>
    <r>
      <t>Relevant GHG emissions for the waste sector are carbon dioxide (CO</t>
    </r>
    <r>
      <rPr>
        <vertAlign val="subscript"/>
        <sz val="10"/>
        <rFont val="Arial"/>
        <family val="2"/>
      </rPr>
      <t>2</t>
    </r>
    <r>
      <rPr>
        <sz val="10"/>
        <rFont val="Arial"/>
        <family val="2"/>
      </rPr>
      <t>), methane (CH</t>
    </r>
    <r>
      <rPr>
        <vertAlign val="subscript"/>
        <sz val="10"/>
        <rFont val="Arial"/>
        <family val="2"/>
      </rPr>
      <t>4</t>
    </r>
    <r>
      <rPr>
        <sz val="10"/>
        <rFont val="Arial"/>
        <family val="2"/>
      </rPr>
      <t>) and nitrous oxide (N</t>
    </r>
    <r>
      <rPr>
        <vertAlign val="subscript"/>
        <sz val="10"/>
        <rFont val="Arial"/>
        <family val="2"/>
      </rPr>
      <t>2</t>
    </r>
    <r>
      <rPr>
        <sz val="10"/>
        <rFont val="Arial"/>
        <family val="2"/>
      </rPr>
      <t>O).</t>
    </r>
  </si>
  <si>
    <t>The defined waste composition and water content</t>
  </si>
  <si>
    <t>You can calculate up to 4 scenarios based on the given waste composition. If you want to change the waste composition, you have to copy the Excel file and start anew.</t>
  </si>
  <si>
    <t>Please indicate in the green marked fields the share of each waste fraction recycled - in percent of corresponding waste fraction.</t>
  </si>
  <si>
    <t xml:space="preserve">Please indicate here the share of food and garden waste recycled (composted/anaerobically digested) - in percent. </t>
  </si>
  <si>
    <t>Please indicate to which extent organic waste is composted and/or anaerobically digested - in percent.</t>
  </si>
  <si>
    <t>Please indicate here information on biogas generation and use.</t>
  </si>
  <si>
    <t>Result: the recycled share of the total waste generated in %</t>
  </si>
  <si>
    <t>lead to the following physical properties for the remaining residual waste:</t>
  </si>
  <si>
    <t>lead to following physical properties of the total waste:</t>
  </si>
  <si>
    <t>You can calculate up to 4 scenarios based on the given waste composition. If you want to change the waste composition you have to copy the Excel file and start anew.</t>
  </si>
  <si>
    <t>Please indicate here what happens to the residual municipal solid waste (= remaining waste amount after recycling) - in percent.</t>
  </si>
  <si>
    <t>Please specify here the disposal technologies of landfilling, incineration and MBT options.</t>
  </si>
  <si>
    <t>In case no specific information is available (e.g. wild dumps), IPCC 2019 recommends the default value for poorly managed sites = 0.7</t>
  </si>
  <si>
    <r>
      <t xml:space="preserve">In case of </t>
    </r>
    <r>
      <rPr>
        <u/>
        <sz val="10"/>
        <rFont val="Arial"/>
        <family val="2"/>
      </rPr>
      <t>sanitary, well-managed landfills</t>
    </r>
    <r>
      <rPr>
        <sz val="10"/>
        <rFont val="Arial"/>
        <family val="2"/>
      </rPr>
      <t xml:space="preserve"> a higher oxidation rate can be expected, which can be defined here by the IPCCs Default values.</t>
    </r>
  </si>
  <si>
    <t>Efficiency of the flare</t>
  </si>
  <si>
    <t>Please indicate here the characteristics for RDF.</t>
  </si>
  <si>
    <t>Insert the shares</t>
  </si>
  <si>
    <t>For orientation, see characteristics of the waste input --&gt; Interim results on worksheet "Recycling"</t>
  </si>
  <si>
    <t>Values for calculations</t>
  </si>
  <si>
    <t>Waste generation table: UK and Ireland moved from Northern Europe to Western Europe, to be coherent with the other table.</t>
  </si>
  <si>
    <t>see comment "Default"</t>
  </si>
  <si>
    <t>Values for calculation</t>
  </si>
  <si>
    <t>in % of input</t>
  </si>
  <si>
    <t>Here you can choose between a low or a high water content, "1" must be inserted in one of the cells</t>
  </si>
  <si>
    <t>Results GHG emissions recycling and disposal in t CO2e/yr</t>
  </si>
  <si>
    <t>Results GHG emissions recycling in t CO2e/yr</t>
  </si>
  <si>
    <t>Results GHG emissions disposal in t CO2e/yr</t>
  </si>
  <si>
    <t>Results specific costs for one tonne CO2e in the calculated scenario</t>
  </si>
  <si>
    <t>Total GHG emissions in t CO2e/yr</t>
  </si>
  <si>
    <t>Difference GHG compared to SQ in t CO2e/yr</t>
  </si>
  <si>
    <t>Mitigation costs in euro/t CO2e</t>
  </si>
  <si>
    <t>Brown Coal Briquettes</t>
  </si>
  <si>
    <t>both direct emissions and emission savings potentials lower</t>
  </si>
  <si>
    <t>Source: IFI 2022, see worksheet "Factors"</t>
  </si>
  <si>
    <t>The most recent values are published in IPCCs 6th Assessment Report (AR6).</t>
  </si>
  <si>
    <t>Source: AEA Technology 2001, p. 114; wood ifeu estimate</t>
  </si>
  <si>
    <t>Compost-like output = no further methane emissions aerobic conditions</t>
  </si>
  <si>
    <t>CH4 emissions</t>
  </si>
  <si>
    <t>Emission savings potential MBS + further treatment</t>
  </si>
  <si>
    <t>AHG-001 "Harmonized IFI Default Grid factors 2021, v3.2, April 2022</t>
  </si>
  <si>
    <t>GIZ contact</t>
  </si>
  <si>
    <t>Sheet for the user to make notes or side calculation entries</t>
  </si>
  <si>
    <t>Deutsche Gesellschaft für Internationale Zusammenarbeit</t>
  </si>
  <si>
    <t>Country selection</t>
  </si>
  <si>
    <t>Scenario 1</t>
  </si>
  <si>
    <t>Status Quo</t>
  </si>
  <si>
    <t>Here the names of the scenarios can be changed</t>
  </si>
  <si>
    <t>Please fill in the green cells only! (white cells will become green if relevant)</t>
  </si>
  <si>
    <t>Default (Germany)</t>
  </si>
  <si>
    <t>With this tool you can roughly assess the climate effect of different waste management options.</t>
  </si>
  <si>
    <t>Detailed information on how to use the tool and on background data are given in a manual.</t>
  </si>
  <si>
    <t>Automatic information will be provided in certain cells, giving background information and helping to complete the form.</t>
  </si>
  <si>
    <t>Specifications for waste treatment and disposal, up to 4 scenarios can be compared</t>
  </si>
  <si>
    <t>Contains all calculations, read-only</t>
  </si>
  <si>
    <t>Please select a country. The choice defines the emission factor for electricty, the default values for waste generation and waste composition</t>
  </si>
  <si>
    <t>The total waste amount refers to the total waste generated per year.</t>
  </si>
  <si>
    <t>This is not only the waste collected by municipalities, but the overall quantity generated.</t>
  </si>
  <si>
    <t>Depending on the readily available data, the total waste amount can be inserted directly into the green field in tonnes per year, or</t>
  </si>
  <si>
    <t>To obtain the total waste generation in the country or region, insert the annual per capita waste generation and population in the green cells.</t>
  </si>
  <si>
    <t>Note: for many developing countries IPCC recommends to multiply the per capita waste generation rates by the urban population only (see countries in italics on the worksheet "Factors", or manual, Annex)</t>
  </si>
  <si>
    <t>The reference is the mass of wet waste of the total waste amount = waste to disposal and waste to recycling (this includes waste that is collected separately e.g. by informal sector).</t>
  </si>
  <si>
    <t>If data on the total waste composition is available please enter the percentage - otherwise you can use the given default values (IPCC 2019, see worksheet "Factors", or manual, Annex).</t>
  </si>
  <si>
    <t>Waste can differ significantly in terms of water content, and consequently also the calorific value changes (further explanation see manual)</t>
  </si>
  <si>
    <t>Explanation of the different treatment options see manual</t>
  </si>
  <si>
    <r>
      <t xml:space="preserve">Please specify the MCF for the different landfill options. In case of different type of sites it is recommended to assess a weighted average to insert here (--&gt; </t>
    </r>
    <r>
      <rPr>
        <b/>
        <sz val="10"/>
        <color theme="9"/>
        <rFont val="Arial"/>
        <family val="2"/>
      </rPr>
      <t>side calculation</t>
    </r>
    <r>
      <rPr>
        <sz val="10"/>
        <rFont val="Arial"/>
        <family val="2"/>
      </rPr>
      <t>).</t>
    </r>
  </si>
  <si>
    <t>Please define here the treatment of the overall collected landfill gas (further explanation treatment options see manual).</t>
  </si>
  <si>
    <t>Please indicate here the net efficiency of energy utilization through waste incineration - use own data or default values (further explanations see comment or manual)</t>
  </si>
  <si>
    <t>Please indicate here the mass balances of MBTs and/or MBS treatment - use own data or default values (further explanation see comment or manual)</t>
  </si>
  <si>
    <r>
      <t xml:space="preserve">In case of </t>
    </r>
    <r>
      <rPr>
        <u/>
        <sz val="10"/>
        <rFont val="Arial"/>
        <family val="2"/>
      </rPr>
      <t xml:space="preserve">sanitary landfill with gas collection, </t>
    </r>
    <r>
      <rPr>
        <sz val="10"/>
        <rFont val="Arial"/>
        <family val="2"/>
      </rPr>
      <t>please insert here the average share of collected landfill gas over the lifetime of the sanitary landfill (further explanation see comment or manual).</t>
    </r>
  </si>
  <si>
    <t>Landfill gas use</t>
  </si>
  <si>
    <r>
      <t xml:space="preserve">In case of </t>
    </r>
    <r>
      <rPr>
        <u/>
        <sz val="10"/>
        <rFont val="Arial"/>
        <family val="2"/>
      </rPr>
      <t>flaring</t>
    </r>
    <r>
      <rPr>
        <sz val="10"/>
        <rFont val="Arial"/>
        <family val="2"/>
      </rPr>
      <t>, please insert here the efficiency of flaring</t>
    </r>
  </si>
  <si>
    <t>CHP net electricity (credit)</t>
  </si>
  <si>
    <t>Biomethan substituting natural gas (credit)</t>
  </si>
  <si>
    <t>Emission savings potential digestion</t>
  </si>
  <si>
    <t>Total direct emissions digestion</t>
  </si>
  <si>
    <t>depending on the scenario (CHP, biomethane)</t>
  </si>
  <si>
    <t>Landfill methane generation</t>
  </si>
  <si>
    <t>Inhabitants</t>
  </si>
  <si>
    <t>The metrics for the 100-year time horizon (GWP100) are the default values.</t>
  </si>
  <si>
    <t>Changes to previous version</t>
  </si>
  <si>
    <t>Continuous incineration and stoker are considered, for these</t>
  </si>
  <si>
    <t>Caribbean does not have information in the "waste composition"-table, so it was moved under "Central America", so that that information can be withdrawn based on "Central America".</t>
  </si>
  <si>
    <t>Polynesia &amp; Melanesia do not have information in the "waste composition"-table, so they were moved together with Australia and New Zealand --&gt; this whole region is now named as "Oceania" in the table.</t>
  </si>
  <si>
    <t>Vogt, R.; Harju, N.; Auberger, A.; Gonser, J.; Küchen, V.; Bulach, W.; Merz, C.; Dehoust, G. (in publication): Determining climate protection potentials in the circular economy for Germany and the EU. On behalf of the German Environment Agency, FKZ 3718 41 305 0</t>
  </si>
  <si>
    <r>
      <rPr>
        <sz val="10"/>
        <rFont val="Arial"/>
        <family val="2"/>
      </rPr>
      <t>mismanaged</t>
    </r>
    <r>
      <rPr>
        <b/>
        <sz val="10"/>
        <color indexed="10"/>
        <rFont val="Arial"/>
        <family val="2"/>
      </rPr>
      <t xml:space="preserve"> Shall be avoided !!</t>
    </r>
  </si>
  <si>
    <t>Optional side calculation: total waste amount</t>
  </si>
  <si>
    <t>Optional side calculation: MCF specification</t>
  </si>
  <si>
    <t>The production of electricity is combined with GHG emissions. The specific quantity of these emissions depends on the energy carriers used for electricity production.</t>
  </si>
  <si>
    <t xml:space="preserve">If known please insert the specific emission factor for the electricity production in your country in g CO2e/kWh. </t>
  </si>
  <si>
    <t>The provided default country value refers to the combined margin grid emission factor for "electricity consumption" according to the IFI Methodology.</t>
  </si>
  <si>
    <t>For further explanation and alternative sources for specific emission factors see manual.</t>
  </si>
  <si>
    <t>IPCC 2007</t>
  </si>
  <si>
    <t>IPCC 1995</t>
  </si>
  <si>
    <t>IPCC_AR6_WGI_Chapter_07_Supplementary_material</t>
  </si>
  <si>
    <t>WGI_Chapter_07, Table 7.15</t>
  </si>
  <si>
    <t>WGI_Chapter_07_Supplementary_material</t>
  </si>
  <si>
    <t>IPCC_AR5_WGI_Chapter 8, Appendix 8.A</t>
  </si>
  <si>
    <t>IPCC_AR4_WGI_Chapter 2, Table 2.14</t>
  </si>
  <si>
    <t>IPCC 2001</t>
  </si>
  <si>
    <t>Please indicate here the share of dry materials seperately collected and recycled - in percent.</t>
  </si>
  <si>
    <t xml:space="preserve">Sponsored and financed by </t>
  </si>
  <si>
    <t>The current version of the SWM-GHG Calculator was updated and extended by ifeu Heidelberg on behalf of GIZ in cooperation with KfW based on the jointly developed version of 2009, with funds provided by the German Federal Ministry for Economic Cooperation and Developement (BMZ)</t>
  </si>
  <si>
    <t>(November 2022)</t>
  </si>
  <si>
    <t>Centre of Competence for Infrastructure, Water and Natural Resources</t>
  </si>
  <si>
    <t>SWM-GHG Calculator (2023) - Life Cycle Assessment approach</t>
  </si>
  <si>
    <t>Helmut Schön, Barbara Ölz</t>
  </si>
  <si>
    <t>Results for each defined scenario (SQ = Status Quo)</t>
  </si>
  <si>
    <t>MBT + further treatment</t>
  </si>
  <si>
    <t>Mechanical-biological stabilisation; main output RDF</t>
  </si>
  <si>
    <t>main outputs: stabilised material and refuse derived fuels (RDF)</t>
  </si>
  <si>
    <t>Biological stabilisation; stabilised output is landfilled</t>
  </si>
  <si>
    <t>Mechanical-biological treatment (aerobic or anaerobic);</t>
  </si>
  <si>
    <t>Katja Suhr (Global programme 'Go Circular')</t>
  </si>
  <si>
    <t>Ellen Gunsilius (FMB, Competence Center Environment)</t>
  </si>
  <si>
    <t>They can vary strongly depending on the size of plants, selected operator models, local prices and salaries and GDP of the country.</t>
  </si>
  <si>
    <t>Anaerobic Digestion</t>
  </si>
  <si>
    <t>Residual waste to MBT aerobic + further treatment</t>
  </si>
  <si>
    <t>Residual waste to MBT anaerobic + further treatment</t>
  </si>
  <si>
    <t>Residual waste to MBS + further treatment</t>
  </si>
  <si>
    <t>World Bank 2018</t>
  </si>
  <si>
    <t>Pfaff-Simoneit 2012</t>
  </si>
  <si>
    <t>UNEP/ISWA 2015</t>
  </si>
  <si>
    <t xml:space="preserve">ACM0001: Consolidated baseline and monitoring methodology for landfill gas project activities --- Version 11.0 (27.3.22). https://cdm.unfccc.int/methodologies/DB/203B03KT6N8QCC0R1C56DFOF9OYO2T/view.html </t>
  </si>
  <si>
    <t>What a Waste 2.0: A Global Snapshot of Solid Waste Management to 2050. https://openknowledge.worldbank.org/handle/10986/30317 (21.11.22)</t>
  </si>
  <si>
    <t>Global Waste Management Outlook | UNEP - UN Environment Programme</t>
  </si>
  <si>
    <t>Global Waste Management Outlook | UNEP - UN Environment Programme. https://www.unep.org/resources/report/global-waste-management-outlook (21.11.22)</t>
  </si>
  <si>
    <t>What a Waste 2.0 : A Global Snapshot of Solid Waste Management to 2050 (worldbank.org)</t>
  </si>
  <si>
    <t>Sektoraler Ansatz Abfallwirtschaft Entwicklungsländer (uni-rostock.de)</t>
  </si>
  <si>
    <t xml:space="preserve"> - World Bank 2018</t>
  </si>
  <si>
    <t xml:space="preserve"> - Pfaff-Simoneit 2012</t>
  </si>
  <si>
    <t xml:space="preserve"> - UNEP/ ISWA 2015</t>
  </si>
  <si>
    <t>It is recommended to briefly describe the scenarios, and to use this sheet for additional side calculations, and for documentation purposes.</t>
  </si>
  <si>
    <t>Specifications for recycling of separately collected waste, up to 4 scenarios can be compared</t>
  </si>
  <si>
    <t>KfW Bildarchiv / photothek.net</t>
  </si>
  <si>
    <t xml:space="preserve"> GIZ / Regina Tauschek</t>
  </si>
  <si>
    <t xml:space="preserve">   GIZ / Jitendra Yadav</t>
  </si>
  <si>
    <t>GHG mitigation relative to the Status Quo scenario</t>
  </si>
  <si>
    <t>The following publications have been used to determine common cost ranges (see also worksheet "Bibliography"):</t>
  </si>
  <si>
    <t xml:space="preserve">Pfaff-Simoneit, W. (2012): Entwicklung eines sektoralen Ansatzes zum Aufbau von nachhaltigen Abfallwirtschaftssystemen in Entwicklungsländern vor dem Hintergrund von Klimawandel und Ressourcenverknappung. https://rosdok.uni-rostock.de/file/rosdok_derivate_0000005003/Dissertation_Pfaff-Simoneit_2013.pdf </t>
  </si>
  <si>
    <t>Please indicate here the costs for waste treatment options. You can use the given default values, but if specific local data are available, these should be used preferably.</t>
  </si>
  <si>
    <t>Costs for recycling are meant in the sense of effective net costs including revenues.</t>
  </si>
  <si>
    <t>For further information please see manual.</t>
  </si>
  <si>
    <t>The default values represent a rough orientation about average total cost ranges (dynamic prime costs).</t>
  </si>
  <si>
    <t>Default values solid waste disposal (IPCC)</t>
  </si>
  <si>
    <t>Country-specific default values: electricity consumption (IFI 2022), waste generation, waste composition (IPCC 2019), population (DSW 2021)</t>
  </si>
  <si>
    <t>Mechanical-biological stabilisation (MBS) differs from MBT aerobic as it typically is a closed system with shorter retention time and therefore generates less CH4 emissions</t>
  </si>
  <si>
    <t>enclosed</t>
  </si>
  <si>
    <t>open</t>
  </si>
  <si>
    <t>Default:</t>
  </si>
  <si>
    <t>Treatment &amp; Disposal</t>
  </si>
  <si>
    <r>
      <t xml:space="preserve">… a </t>
    </r>
    <r>
      <rPr>
        <b/>
        <sz val="10"/>
        <color theme="9"/>
        <rFont val="Arial"/>
        <family val="2"/>
      </rPr>
      <t>side calculation</t>
    </r>
    <r>
      <rPr>
        <sz val="10"/>
        <rFont val="Arial"/>
        <family val="2"/>
      </rPr>
      <t xml:space="preserve"> can be done based on the country-specific waste quantity (in kg/cap/yr) combined with the number of inhabitants:</t>
    </r>
  </si>
  <si>
    <t>Vogt et al. 2019</t>
  </si>
  <si>
    <t xml:space="preserve">Resource and Climate Protection through integrated Waste Management Projects in Emerging Economies and Developing Countries – Example India. On behalf of the German Environment Agency, January 2019. https://www.umweltbundesamt.de/sites/default/files/medien/1410/publikationen/2019-01-017_texte_05-2019-abfallwirtschaft_indien_en.pdf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</si>
</sst>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
    <numFmt numFmtId="168" formatCode="0.00000"/>
    <numFmt numFmtId="169" formatCode="#,##0.000"/>
  </numFmts>
  <fonts count="83">
    <font>
      <sz val="10"/>
      <name val="Arial"/>
    </font>
    <font>
      <sz val="11"/>
      <color theme="1"/>
      <name val="Calibri"/>
      <family val="2"/>
      <scheme val="minor"/>
    </font>
    <font>
      <sz val="10"/>
      <name val="Arial"/>
      <family val="2"/>
    </font>
    <font>
      <b/>
      <sz val="14"/>
      <name val="Arial"/>
      <family val="2"/>
    </font>
    <font>
      <b/>
      <sz val="10"/>
      <name val="Arial"/>
      <family val="2"/>
    </font>
    <font>
      <sz val="8"/>
      <name val="Arial"/>
      <family val="2"/>
    </font>
    <font>
      <sz val="10"/>
      <name val="Arial"/>
      <family val="2"/>
    </font>
    <font>
      <u/>
      <sz val="10"/>
      <color indexed="12"/>
      <name val="Arial"/>
      <family val="2"/>
    </font>
    <font>
      <sz val="10"/>
      <name val="Courier"/>
    </font>
    <font>
      <sz val="10"/>
      <color indexed="17"/>
      <name val="Arial"/>
      <family val="2"/>
    </font>
    <font>
      <sz val="10"/>
      <color indexed="10"/>
      <name val="Arial"/>
      <family val="2"/>
    </font>
    <font>
      <sz val="10"/>
      <color indexed="12"/>
      <name val="Arial"/>
      <family val="2"/>
    </font>
    <font>
      <u/>
      <sz val="10"/>
      <name val="Arial"/>
      <family val="2"/>
    </font>
    <font>
      <i/>
      <sz val="10"/>
      <color indexed="10"/>
      <name val="Arial"/>
      <family val="2"/>
    </font>
    <font>
      <b/>
      <sz val="12"/>
      <color indexed="10"/>
      <name val="Arial"/>
      <family val="2"/>
    </font>
    <font>
      <sz val="11"/>
      <name val="Arial"/>
      <family val="2"/>
    </font>
    <font>
      <b/>
      <sz val="12"/>
      <name val="Arial"/>
      <family val="2"/>
    </font>
    <font>
      <b/>
      <sz val="10"/>
      <color indexed="14"/>
      <name val="Arial"/>
      <family val="2"/>
    </font>
    <font>
      <b/>
      <sz val="9"/>
      <color indexed="81"/>
      <name val="Tahoma"/>
      <family val="2"/>
    </font>
    <font>
      <sz val="9"/>
      <color indexed="81"/>
      <name val="Tahoma"/>
      <family val="2"/>
    </font>
    <font>
      <b/>
      <sz val="10"/>
      <name val="Arial"/>
      <family val="2"/>
    </font>
    <font>
      <sz val="10"/>
      <name val="Arial"/>
      <family val="2"/>
    </font>
    <font>
      <b/>
      <i/>
      <sz val="10"/>
      <color indexed="12"/>
      <name val="Arial"/>
      <family val="2"/>
    </font>
    <font>
      <b/>
      <sz val="18"/>
      <name val="Arial"/>
      <family val="2"/>
    </font>
    <font>
      <b/>
      <sz val="11"/>
      <color indexed="50"/>
      <name val="Arial"/>
      <family val="2"/>
    </font>
    <font>
      <sz val="10"/>
      <color indexed="22"/>
      <name val="Arial"/>
      <family val="2"/>
    </font>
    <font>
      <b/>
      <sz val="12"/>
      <color indexed="12"/>
      <name val="Arial"/>
      <family val="2"/>
    </font>
    <font>
      <sz val="10"/>
      <color indexed="9"/>
      <name val="Arial"/>
      <family val="2"/>
    </font>
    <font>
      <b/>
      <sz val="13"/>
      <color indexed="50"/>
      <name val="Arial"/>
      <family val="2"/>
    </font>
    <font>
      <sz val="10"/>
      <name val="Times New Roman"/>
      <family val="1"/>
    </font>
    <font>
      <sz val="30"/>
      <name val="Arial"/>
      <family val="2"/>
    </font>
    <font>
      <sz val="12"/>
      <name val="RotisSemiSans-Light"/>
    </font>
    <font>
      <sz val="10"/>
      <color rgb="FFFF0000"/>
      <name val="Arial"/>
      <family val="2"/>
    </font>
    <font>
      <b/>
      <sz val="11"/>
      <color rgb="FFFF0000"/>
      <name val="Arial"/>
      <family val="2"/>
    </font>
    <font>
      <u/>
      <sz val="11"/>
      <color theme="10"/>
      <name val="Calibri"/>
      <family val="2"/>
      <scheme val="minor"/>
    </font>
    <font>
      <sz val="9"/>
      <color indexed="81"/>
      <name val="Segoe UI"/>
      <family val="2"/>
    </font>
    <font>
      <sz val="10"/>
      <color theme="1"/>
      <name val="Arial"/>
      <family val="2"/>
    </font>
    <font>
      <b/>
      <sz val="10"/>
      <color rgb="FFFF0000"/>
      <name val="Arial"/>
      <family val="2"/>
    </font>
    <font>
      <sz val="10"/>
      <color theme="0" tint="-0.34998626667073579"/>
      <name val="Arial"/>
      <family val="2"/>
    </font>
    <font>
      <i/>
      <sz val="10"/>
      <name val="Arial"/>
      <family val="2"/>
    </font>
    <font>
      <vertAlign val="subscript"/>
      <sz val="10"/>
      <name val="Arial"/>
      <family val="2"/>
    </font>
    <font>
      <sz val="10"/>
      <color theme="5" tint="-0.249977111117893"/>
      <name val="Arial"/>
      <family val="2"/>
    </font>
    <font>
      <sz val="10"/>
      <color theme="9"/>
      <name val="Arial"/>
      <family val="2"/>
    </font>
    <font>
      <u/>
      <sz val="9"/>
      <color indexed="81"/>
      <name val="Segoe UI"/>
      <family val="2"/>
    </font>
    <font>
      <sz val="10"/>
      <color theme="0" tint="-0.499984740745262"/>
      <name val="Arial"/>
      <family val="2"/>
    </font>
    <font>
      <b/>
      <sz val="10"/>
      <color indexed="17"/>
      <name val="Arial"/>
      <family val="2"/>
    </font>
    <font>
      <b/>
      <sz val="10"/>
      <color indexed="10"/>
      <name val="Arial"/>
      <family val="2"/>
    </font>
    <font>
      <b/>
      <sz val="10"/>
      <color indexed="9"/>
      <name val="Arial"/>
      <family val="2"/>
    </font>
    <font>
      <sz val="10"/>
      <color indexed="20"/>
      <name val="Arial"/>
      <family val="2"/>
    </font>
    <font>
      <b/>
      <sz val="12"/>
      <color indexed="9"/>
      <name val="Arial"/>
      <family val="2"/>
    </font>
    <font>
      <sz val="12"/>
      <color indexed="9"/>
      <name val="Arial"/>
      <family val="2"/>
    </font>
    <font>
      <b/>
      <u/>
      <sz val="10"/>
      <color theme="1"/>
      <name val="Arial"/>
      <family val="2"/>
    </font>
    <font>
      <b/>
      <sz val="10"/>
      <color theme="1"/>
      <name val="Arial"/>
      <family val="2"/>
    </font>
    <font>
      <u/>
      <sz val="10"/>
      <color theme="10"/>
      <name val="Arial"/>
      <family val="2"/>
    </font>
    <font>
      <i/>
      <sz val="10"/>
      <color theme="1"/>
      <name val="Arial"/>
      <family val="2"/>
    </font>
    <font>
      <u/>
      <sz val="10"/>
      <color theme="1"/>
      <name val="Arial"/>
      <family val="2"/>
    </font>
    <font>
      <b/>
      <u/>
      <sz val="14"/>
      <color theme="1"/>
      <name val="Arial"/>
      <family val="2"/>
    </font>
    <font>
      <b/>
      <sz val="12"/>
      <color theme="1"/>
      <name val="Arial"/>
      <family val="2"/>
    </font>
    <font>
      <b/>
      <sz val="10"/>
      <color theme="9"/>
      <name val="Arial"/>
      <family val="2"/>
    </font>
    <font>
      <b/>
      <u/>
      <sz val="14"/>
      <name val="Arial"/>
      <family val="2"/>
    </font>
    <font>
      <sz val="10"/>
      <color theme="0" tint="-0.249977111117893"/>
      <name val="Arial"/>
      <family val="2"/>
    </font>
    <font>
      <sz val="10"/>
      <color rgb="FFC00000"/>
      <name val="Arial"/>
      <family val="2"/>
    </font>
    <font>
      <sz val="10"/>
      <color indexed="23"/>
      <name val="Arial"/>
      <family val="2"/>
    </font>
    <font>
      <i/>
      <sz val="10"/>
      <color rgb="FF00B0F0"/>
      <name val="Arial"/>
      <family val="2"/>
    </font>
    <font>
      <sz val="10"/>
      <color rgb="FF00B0F0"/>
      <name val="Arial"/>
      <family val="2"/>
    </font>
    <font>
      <sz val="14"/>
      <name val="Arial"/>
      <family val="2"/>
    </font>
    <font>
      <sz val="14"/>
      <color indexed="17"/>
      <name val="Arial"/>
      <family val="2"/>
    </font>
    <font>
      <b/>
      <sz val="14"/>
      <color theme="0"/>
      <name val="Arial"/>
      <family val="2"/>
    </font>
    <font>
      <sz val="14"/>
      <color theme="0"/>
      <name val="Arial"/>
      <family val="2"/>
    </font>
    <font>
      <i/>
      <sz val="9"/>
      <color indexed="81"/>
      <name val="Tahoma"/>
      <family val="2"/>
    </font>
    <font>
      <i/>
      <sz val="10"/>
      <color rgb="FFFF0000"/>
      <name val="Arial"/>
      <family val="2"/>
    </font>
    <font>
      <b/>
      <sz val="13"/>
      <color theme="9"/>
      <name val="Arial"/>
      <family val="2"/>
    </font>
    <font>
      <b/>
      <i/>
      <sz val="10"/>
      <color theme="9"/>
      <name val="Arial"/>
      <family val="2"/>
    </font>
    <font>
      <b/>
      <sz val="11"/>
      <color theme="9"/>
      <name val="Arial"/>
      <family val="2"/>
    </font>
    <font>
      <i/>
      <sz val="10"/>
      <color theme="9"/>
      <name val="Arial"/>
      <family val="2"/>
    </font>
    <font>
      <sz val="10"/>
      <color rgb="FF7030A0"/>
      <name val="Arial"/>
      <family val="2"/>
    </font>
    <font>
      <b/>
      <sz val="13"/>
      <color rgb="FF99CC00"/>
      <name val="Arial"/>
      <family val="2"/>
    </font>
    <font>
      <sz val="10"/>
      <color rgb="FF800080"/>
      <name val="Arial"/>
      <family val="2"/>
    </font>
    <font>
      <sz val="11"/>
      <color rgb="FFFF0000"/>
      <name val="Arial"/>
      <family val="2"/>
    </font>
    <font>
      <i/>
      <sz val="10"/>
      <color theme="0" tint="-0.499984740745262"/>
      <name val="Arial"/>
      <family val="2"/>
    </font>
    <font>
      <b/>
      <sz val="10"/>
      <color rgb="FF00B0F0"/>
      <name val="Arial"/>
      <family val="2"/>
    </font>
    <font>
      <sz val="10"/>
      <color rgb="FF000000"/>
      <name val="Arial"/>
      <family val="2"/>
    </font>
    <font>
      <i/>
      <sz val="12"/>
      <name val="Arial"/>
      <family val="2"/>
    </font>
  </fonts>
  <fills count="24">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2"/>
        <bgColor indexed="64"/>
      </patternFill>
    </fill>
    <fill>
      <patternFill patternType="solid">
        <fgColor theme="2" tint="-0.499984740745262"/>
        <bgColor indexed="64"/>
      </patternFill>
    </fill>
    <fill>
      <patternFill patternType="solid">
        <fgColor rgb="FFFFFF99"/>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rgb="FF000000"/>
      </patternFill>
    </fill>
    <fill>
      <patternFill patternType="solid">
        <fgColor theme="7"/>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22"/>
      </top>
      <bottom style="thin">
        <color indexed="22"/>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4">
    <xf numFmtId="0" fontId="0" fillId="0" borderId="0"/>
    <xf numFmtId="0" fontId="7" fillId="0" borderId="0" applyNumberFormat="0" applyFill="0" applyBorder="0" applyAlignment="0" applyProtection="0">
      <alignment vertical="top"/>
      <protection locked="0"/>
    </xf>
    <xf numFmtId="0" fontId="8" fillId="0" borderId="0"/>
    <xf numFmtId="9" fontId="2" fillId="0" borderId="0" applyFont="0" applyFill="0" applyBorder="0" applyAlignment="0" applyProtection="0"/>
    <xf numFmtId="0" fontId="1" fillId="0" borderId="0"/>
    <xf numFmtId="0" fontId="34" fillId="0" borderId="0" applyNumberFormat="0" applyFill="0" applyBorder="0" applyAlignment="0" applyProtection="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2" fillId="0" borderId="0"/>
  </cellStyleXfs>
  <cellXfs count="788">
    <xf numFmtId="0" fontId="0" fillId="0" borderId="0" xfId="0"/>
    <xf numFmtId="0" fontId="6" fillId="3" borderId="2" xfId="0" applyFont="1" applyFill="1" applyBorder="1" applyAlignment="1" applyProtection="1">
      <alignment horizontal="right"/>
    </xf>
    <xf numFmtId="0" fontId="6" fillId="3" borderId="3" xfId="0" applyFont="1" applyFill="1" applyBorder="1" applyAlignment="1" applyProtection="1">
      <alignment horizontal="right"/>
    </xf>
    <xf numFmtId="0" fontId="4" fillId="3" borderId="3" xfId="0" applyFont="1" applyFill="1" applyBorder="1" applyAlignment="1" applyProtection="1">
      <alignment horizontal="left"/>
    </xf>
    <xf numFmtId="0" fontId="4" fillId="3" borderId="2" xfId="0" applyFont="1" applyFill="1" applyBorder="1" applyAlignment="1" applyProtection="1">
      <alignment horizontal="left"/>
    </xf>
    <xf numFmtId="0" fontId="0" fillId="3" borderId="0" xfId="0" applyFill="1"/>
    <xf numFmtId="0" fontId="6" fillId="3" borderId="0" xfId="0" applyFont="1" applyFill="1" applyBorder="1" applyProtection="1"/>
    <xf numFmtId="0" fontId="6" fillId="3" borderId="1" xfId="0" applyFont="1" applyFill="1" applyBorder="1" applyProtection="1"/>
    <xf numFmtId="0" fontId="2" fillId="4" borderId="4" xfId="0" applyFont="1" applyFill="1" applyBorder="1" applyProtection="1"/>
    <xf numFmtId="0" fontId="2" fillId="3" borderId="1" xfId="0" applyFont="1" applyFill="1" applyBorder="1" applyProtection="1"/>
    <xf numFmtId="0" fontId="21" fillId="3" borderId="1" xfId="0" applyFont="1" applyFill="1" applyBorder="1" applyProtection="1"/>
    <xf numFmtId="1" fontId="0" fillId="5" borderId="6" xfId="0" applyNumberFormat="1" applyFill="1" applyBorder="1" applyAlignment="1" applyProtection="1">
      <alignment horizontal="center"/>
      <protection locked="0"/>
    </xf>
    <xf numFmtId="0" fontId="28" fillId="3" borderId="0" xfId="0" applyFont="1" applyFill="1" applyAlignment="1" applyProtection="1">
      <alignment horizontal="center"/>
    </xf>
    <xf numFmtId="0" fontId="3" fillId="3" borderId="0" xfId="0" applyFont="1" applyFill="1" applyProtection="1"/>
    <xf numFmtId="0" fontId="0" fillId="3" borderId="0" xfId="0" applyFill="1" applyProtection="1"/>
    <xf numFmtId="0" fontId="4" fillId="3" borderId="1" xfId="0" applyFont="1" applyFill="1" applyBorder="1" applyAlignment="1" applyProtection="1">
      <alignment horizontal="center"/>
    </xf>
    <xf numFmtId="0" fontId="3" fillId="4" borderId="13" xfId="0" applyFont="1" applyFill="1" applyBorder="1" applyProtection="1"/>
    <xf numFmtId="0" fontId="15" fillId="4" borderId="4" xfId="0" applyFont="1" applyFill="1" applyBorder="1" applyProtection="1"/>
    <xf numFmtId="0" fontId="4" fillId="4" borderId="4" xfId="0" applyFont="1" applyFill="1" applyBorder="1" applyProtection="1"/>
    <xf numFmtId="0" fontId="6" fillId="4" borderId="0" xfId="0" applyFont="1" applyFill="1" applyBorder="1" applyAlignment="1" applyProtection="1">
      <alignment horizontal="center"/>
    </xf>
    <xf numFmtId="0" fontId="0" fillId="4" borderId="0" xfId="0" applyFill="1" applyBorder="1" applyAlignment="1" applyProtection="1">
      <alignment horizontal="center"/>
    </xf>
    <xf numFmtId="0" fontId="4" fillId="3" borderId="1" xfId="0" applyFont="1" applyFill="1" applyBorder="1" applyProtection="1"/>
    <xf numFmtId="0" fontId="0" fillId="3" borderId="2" xfId="0" applyFill="1" applyBorder="1" applyProtection="1"/>
    <xf numFmtId="0" fontId="0" fillId="3" borderId="0" xfId="0" applyFill="1" applyAlignment="1" applyProtection="1">
      <alignment horizontal="left"/>
    </xf>
    <xf numFmtId="166" fontId="0" fillId="3" borderId="0" xfId="0" applyNumberFormat="1" applyFill="1" applyBorder="1" applyProtection="1"/>
    <xf numFmtId="0" fontId="0" fillId="4" borderId="0" xfId="0" applyFill="1" applyBorder="1" applyProtection="1"/>
    <xf numFmtId="164" fontId="0" fillId="4" borderId="2" xfId="0" applyNumberFormat="1" applyFill="1" applyBorder="1" applyAlignment="1" applyProtection="1">
      <alignment horizontal="center"/>
    </xf>
    <xf numFmtId="166" fontId="0" fillId="4" borderId="2" xfId="3" applyNumberFormat="1" applyFont="1" applyFill="1" applyBorder="1" applyAlignment="1" applyProtection="1">
      <alignment horizontal="center"/>
    </xf>
    <xf numFmtId="0" fontId="4" fillId="3" borderId="0" xfId="0" applyFont="1" applyFill="1" applyProtection="1"/>
    <xf numFmtId="0" fontId="24" fillId="3" borderId="0" xfId="0" applyFont="1" applyFill="1" applyProtection="1"/>
    <xf numFmtId="0" fontId="26" fillId="3" borderId="0" xfId="0" applyFont="1" applyFill="1" applyProtection="1"/>
    <xf numFmtId="0" fontId="2" fillId="3" borderId="0" xfId="0" applyFont="1" applyFill="1" applyAlignment="1" applyProtection="1">
      <alignment horizontal="right"/>
    </xf>
    <xf numFmtId="0" fontId="20" fillId="3" borderId="1" xfId="0" applyFont="1" applyFill="1" applyBorder="1" applyProtection="1"/>
    <xf numFmtId="9" fontId="0" fillId="5" borderId="2" xfId="0" applyNumberFormat="1" applyFill="1" applyBorder="1" applyAlignment="1" applyProtection="1">
      <alignment horizontal="center"/>
      <protection locked="0"/>
    </xf>
    <xf numFmtId="0" fontId="2" fillId="3" borderId="0" xfId="0" applyFont="1" applyFill="1" applyProtection="1"/>
    <xf numFmtId="0" fontId="2" fillId="4" borderId="0" xfId="0" applyFont="1" applyFill="1" applyBorder="1" applyProtection="1"/>
    <xf numFmtId="166" fontId="0" fillId="5" borderId="2" xfId="0" applyNumberFormat="1" applyFill="1" applyBorder="1" applyAlignment="1" applyProtection="1">
      <alignment horizontal="center"/>
      <protection locked="0"/>
    </xf>
    <xf numFmtId="0" fontId="0" fillId="3" borderId="1" xfId="0" applyFill="1" applyBorder="1" applyProtection="1"/>
    <xf numFmtId="0" fontId="0" fillId="3" borderId="0" xfId="0" applyFill="1" applyAlignment="1" applyProtection="1">
      <alignment horizontal="right"/>
    </xf>
    <xf numFmtId="1" fontId="0" fillId="5" borderId="2" xfId="0" applyNumberFormat="1" applyFill="1" applyBorder="1" applyAlignment="1" applyProtection="1">
      <alignment horizontal="center"/>
      <protection locked="0"/>
    </xf>
    <xf numFmtId="0" fontId="3" fillId="4" borderId="0" xfId="0" applyFont="1" applyFill="1" applyProtection="1"/>
    <xf numFmtId="0" fontId="4" fillId="3" borderId="2" xfId="0" applyFont="1" applyFill="1" applyBorder="1" applyProtection="1"/>
    <xf numFmtId="3" fontId="0" fillId="3" borderId="2" xfId="0" applyNumberFormat="1" applyFill="1" applyBorder="1" applyProtection="1"/>
    <xf numFmtId="9" fontId="4" fillId="3" borderId="0" xfId="3" applyFont="1" applyFill="1" applyAlignment="1" applyProtection="1">
      <alignment horizontal="left"/>
    </xf>
    <xf numFmtId="9" fontId="4" fillId="3" borderId="0" xfId="3" applyFont="1" applyFill="1" applyProtection="1"/>
    <xf numFmtId="3" fontId="4" fillId="6" borderId="3" xfId="0" applyNumberFormat="1" applyFont="1" applyFill="1" applyBorder="1" applyProtection="1"/>
    <xf numFmtId="0" fontId="6" fillId="3" borderId="0" xfId="0" applyFont="1" applyFill="1" applyAlignment="1" applyProtection="1">
      <alignment horizontal="right"/>
    </xf>
    <xf numFmtId="9" fontId="0" fillId="3" borderId="0" xfId="3" applyFont="1" applyFill="1" applyAlignment="1" applyProtection="1">
      <alignment horizontal="left"/>
    </xf>
    <xf numFmtId="9" fontId="0" fillId="3" borderId="0" xfId="3" applyFont="1" applyFill="1" applyProtection="1"/>
    <xf numFmtId="3" fontId="0" fillId="6" borderId="2" xfId="0" applyNumberFormat="1" applyFill="1" applyBorder="1" applyProtection="1"/>
    <xf numFmtId="0" fontId="0" fillId="3" borderId="2" xfId="0" applyFill="1" applyBorder="1" applyAlignment="1" applyProtection="1">
      <alignment horizontal="right"/>
    </xf>
    <xf numFmtId="0" fontId="6" fillId="3" borderId="15" xfId="0" applyFont="1" applyFill="1" applyBorder="1" applyAlignment="1" applyProtection="1">
      <alignment horizontal="right"/>
    </xf>
    <xf numFmtId="3" fontId="0" fillId="3" borderId="16" xfId="0" applyNumberFormat="1" applyFill="1" applyBorder="1" applyProtection="1"/>
    <xf numFmtId="3" fontId="0" fillId="3" borderId="3" xfId="0" applyNumberFormat="1" applyFill="1" applyBorder="1" applyProtection="1"/>
    <xf numFmtId="0" fontId="0" fillId="3" borderId="3" xfId="0" applyFill="1" applyBorder="1" applyProtection="1"/>
    <xf numFmtId="0" fontId="4" fillId="3" borderId="3" xfId="0" applyFont="1" applyFill="1" applyBorder="1" applyProtection="1"/>
    <xf numFmtId="0" fontId="0" fillId="3" borderId="3" xfId="0" applyFill="1" applyBorder="1" applyAlignment="1" applyProtection="1">
      <alignment horizontal="right"/>
    </xf>
    <xf numFmtId="0" fontId="25" fillId="3" borderId="0" xfId="0" applyFont="1" applyFill="1" applyAlignment="1" applyProtection="1">
      <alignment horizontal="right"/>
    </xf>
    <xf numFmtId="0" fontId="25" fillId="3" borderId="0" xfId="0" applyFont="1" applyFill="1" applyProtection="1"/>
    <xf numFmtId="3" fontId="25" fillId="3" borderId="0" xfId="0" applyNumberFormat="1" applyFont="1" applyFill="1" applyProtection="1"/>
    <xf numFmtId="3" fontId="4" fillId="3" borderId="3" xfId="0" applyNumberFormat="1" applyFont="1" applyFill="1" applyBorder="1" applyProtection="1"/>
    <xf numFmtId="0" fontId="16" fillId="3" borderId="5" xfId="0" applyFont="1" applyFill="1" applyBorder="1" applyProtection="1"/>
    <xf numFmtId="3" fontId="0" fillId="3" borderId="0" xfId="0" applyNumberFormat="1" applyFill="1" applyProtection="1"/>
    <xf numFmtId="3" fontId="0" fillId="3" borderId="0" xfId="0" applyNumberFormat="1" applyFill="1" applyAlignment="1" applyProtection="1">
      <alignment horizontal="right"/>
    </xf>
    <xf numFmtId="0" fontId="4" fillId="3" borderId="0" xfId="0" applyFont="1" applyFill="1" applyAlignment="1" applyProtection="1">
      <alignment horizontal="right"/>
    </xf>
    <xf numFmtId="0" fontId="0" fillId="3" borderId="0" xfId="0" applyFill="1" applyBorder="1" applyAlignment="1" applyProtection="1">
      <alignment horizontal="right"/>
    </xf>
    <xf numFmtId="0" fontId="4" fillId="3" borderId="0" xfId="0" applyFont="1" applyFill="1" applyBorder="1" applyAlignment="1" applyProtection="1">
      <alignment horizontal="right"/>
    </xf>
    <xf numFmtId="3" fontId="0" fillId="3" borderId="0" xfId="0" applyNumberFormat="1" applyFill="1" applyBorder="1" applyAlignment="1" applyProtection="1">
      <alignment horizontal="right"/>
    </xf>
    <xf numFmtId="3" fontId="0" fillId="3" borderId="0" xfId="0" applyNumberFormat="1" applyFill="1" applyAlignment="1" applyProtection="1">
      <alignment horizontal="left"/>
    </xf>
    <xf numFmtId="0" fontId="0" fillId="3" borderId="17" xfId="0" applyFill="1" applyBorder="1" applyProtection="1"/>
    <xf numFmtId="0" fontId="4" fillId="3" borderId="17" xfId="0" applyFont="1" applyFill="1" applyBorder="1" applyProtection="1"/>
    <xf numFmtId="0" fontId="3" fillId="0" borderId="0" xfId="0" applyFont="1" applyFill="1" applyProtection="1"/>
    <xf numFmtId="4" fontId="0" fillId="3" borderId="3" xfId="0" applyNumberFormat="1" applyFill="1" applyBorder="1" applyProtection="1"/>
    <xf numFmtId="9" fontId="2" fillId="3" borderId="0" xfId="3" applyFill="1" applyAlignment="1" applyProtection="1">
      <alignment horizontal="left"/>
    </xf>
    <xf numFmtId="9" fontId="2" fillId="3" borderId="0" xfId="3" applyFill="1" applyProtection="1"/>
    <xf numFmtId="0" fontId="16" fillId="3" borderId="0" xfId="0" applyFont="1" applyFill="1" applyProtection="1"/>
    <xf numFmtId="0" fontId="4" fillId="3" borderId="0" xfId="0" applyFont="1" applyFill="1" applyAlignment="1" applyProtection="1">
      <alignment horizontal="left"/>
    </xf>
    <xf numFmtId="0" fontId="0" fillId="3" borderId="0" xfId="0" applyFill="1" applyBorder="1" applyProtection="1"/>
    <xf numFmtId="3" fontId="27" fillId="3" borderId="0" xfId="0" applyNumberFormat="1" applyFont="1" applyFill="1" applyBorder="1" applyProtection="1"/>
    <xf numFmtId="3" fontId="4" fillId="7" borderId="3" xfId="0" applyNumberFormat="1" applyFont="1" applyFill="1" applyBorder="1" applyProtection="1"/>
    <xf numFmtId="3" fontId="0" fillId="7" borderId="2" xfId="0" applyNumberFormat="1" applyFill="1" applyBorder="1" applyProtection="1"/>
    <xf numFmtId="10" fontId="0" fillId="3" borderId="0" xfId="0" applyNumberFormat="1" applyFill="1" applyAlignment="1" applyProtection="1">
      <alignment horizontal="center"/>
    </xf>
    <xf numFmtId="9" fontId="0" fillId="3" borderId="0" xfId="0" applyNumberFormat="1" applyFill="1" applyBorder="1" applyAlignment="1" applyProtection="1">
      <alignment horizontal="center"/>
    </xf>
    <xf numFmtId="0" fontId="6" fillId="3" borderId="0" xfId="0" applyFont="1" applyFill="1"/>
    <xf numFmtId="0" fontId="29" fillId="3" borderId="0" xfId="0" applyFont="1" applyFill="1"/>
    <xf numFmtId="0" fontId="23" fillId="3" borderId="0" xfId="0" applyFont="1" applyFill="1"/>
    <xf numFmtId="3" fontId="6" fillId="4" borderId="2" xfId="0" applyNumberFormat="1" applyFont="1" applyFill="1" applyBorder="1" applyAlignment="1" applyProtection="1">
      <alignment horizontal="left"/>
    </xf>
    <xf numFmtId="0" fontId="0" fillId="9" borderId="0" xfId="0" applyFill="1"/>
    <xf numFmtId="0" fontId="2" fillId="0" borderId="11" xfId="4" applyFont="1" applyFill="1" applyBorder="1" applyProtection="1"/>
    <xf numFmtId="0" fontId="6" fillId="9" borderId="0" xfId="0" applyFont="1" applyFill="1" applyBorder="1" applyProtection="1"/>
    <xf numFmtId="0" fontId="0" fillId="9" borderId="0" xfId="0" applyFill="1" applyProtection="1"/>
    <xf numFmtId="166" fontId="6" fillId="9" borderId="0" xfId="0" applyNumberFormat="1" applyFont="1" applyFill="1" applyBorder="1" applyProtection="1"/>
    <xf numFmtId="166" fontId="6" fillId="9" borderId="0" xfId="3" applyNumberFormat="1" applyFont="1" applyFill="1" applyBorder="1" applyProtection="1"/>
    <xf numFmtId="0" fontId="2" fillId="0" borderId="2" xfId="0" applyFont="1" applyFill="1" applyBorder="1" applyProtection="1"/>
    <xf numFmtId="0" fontId="4" fillId="0" borderId="0" xfId="0" applyFont="1" applyFill="1" applyProtection="1"/>
    <xf numFmtId="0" fontId="2" fillId="9" borderId="0" xfId="0" applyFont="1" applyFill="1"/>
    <xf numFmtId="0" fontId="4" fillId="3" borderId="0" xfId="0" applyFont="1" applyFill="1" applyBorder="1" applyAlignment="1" applyProtection="1">
      <alignment horizontal="center"/>
    </xf>
    <xf numFmtId="0" fontId="2" fillId="0" borderId="0" xfId="0" applyFont="1" applyFill="1" applyProtection="1"/>
    <xf numFmtId="0" fontId="3" fillId="9" borderId="0" xfId="0" applyFont="1" applyFill="1" applyProtection="1"/>
    <xf numFmtId="0" fontId="2" fillId="9" borderId="1" xfId="0" applyFont="1" applyFill="1" applyBorder="1" applyProtection="1"/>
    <xf numFmtId="0" fontId="2" fillId="0" borderId="0" xfId="4" applyFont="1" applyFill="1" applyBorder="1" applyProtection="1"/>
    <xf numFmtId="0" fontId="2" fillId="3" borderId="0" xfId="0" applyFont="1" applyFill="1" applyBorder="1" applyProtection="1"/>
    <xf numFmtId="0" fontId="2" fillId="9" borderId="0" xfId="0" applyFont="1" applyFill="1" applyBorder="1" applyProtection="1"/>
    <xf numFmtId="166" fontId="6" fillId="9" borderId="1" xfId="3" applyNumberFormat="1" applyFont="1" applyFill="1" applyBorder="1" applyProtection="1"/>
    <xf numFmtId="0" fontId="2" fillId="17" borderId="0" xfId="0" applyFont="1" applyFill="1" applyBorder="1" applyAlignment="1" applyProtection="1">
      <alignment horizontal="left"/>
    </xf>
    <xf numFmtId="166" fontId="2" fillId="5" borderId="2" xfId="0" applyNumberFormat="1" applyFont="1" applyFill="1" applyBorder="1" applyAlignment="1" applyProtection="1">
      <alignment horizontal="center"/>
      <protection locked="0"/>
    </xf>
    <xf numFmtId="166" fontId="2" fillId="5" borderId="6" xfId="0" applyNumberFormat="1" applyFont="1" applyFill="1" applyBorder="1" applyAlignment="1" applyProtection="1">
      <alignment horizontal="center"/>
      <protection locked="0"/>
    </xf>
    <xf numFmtId="0" fontId="48" fillId="3" borderId="0" xfId="0" applyFont="1" applyFill="1" applyProtection="1"/>
    <xf numFmtId="0" fontId="2" fillId="3" borderId="0" xfId="0" applyFont="1" applyFill="1" applyAlignment="1" applyProtection="1">
      <alignment horizontal="left"/>
    </xf>
    <xf numFmtId="2" fontId="2" fillId="5" borderId="2" xfId="0" applyNumberFormat="1" applyFont="1" applyFill="1" applyBorder="1" applyAlignment="1" applyProtection="1">
      <alignment horizontal="center"/>
      <protection locked="0"/>
    </xf>
    <xf numFmtId="0" fontId="2" fillId="9" borderId="0" xfId="0" applyFont="1" applyFill="1" applyProtection="1"/>
    <xf numFmtId="9" fontId="2" fillId="9" borderId="0" xfId="0" applyNumberFormat="1" applyFont="1" applyFill="1" applyBorder="1" applyProtection="1"/>
    <xf numFmtId="9" fontId="2" fillId="9" borderId="0" xfId="0" applyNumberFormat="1" applyFont="1" applyFill="1" applyBorder="1" applyAlignment="1" applyProtection="1">
      <alignment horizontal="right"/>
    </xf>
    <xf numFmtId="9" fontId="2" fillId="9" borderId="0" xfId="0" applyNumberFormat="1" applyFont="1" applyFill="1" applyProtection="1"/>
    <xf numFmtId="0" fontId="16" fillId="3" borderId="2" xfId="0" applyFont="1" applyFill="1" applyBorder="1" applyProtection="1"/>
    <xf numFmtId="0" fontId="7" fillId="0" borderId="0" xfId="1" applyFont="1" applyFill="1" applyAlignment="1" applyProtection="1"/>
    <xf numFmtId="0" fontId="7" fillId="0" borderId="0" xfId="1" applyFont="1" applyBorder="1" applyAlignment="1" applyProtection="1">
      <alignment horizontal="left"/>
    </xf>
    <xf numFmtId="0" fontId="7" fillId="0" borderId="0" xfId="1" applyFont="1" applyBorder="1" applyAlignment="1" applyProtection="1"/>
    <xf numFmtId="0" fontId="7" fillId="0" borderId="0" xfId="1" applyFont="1" applyAlignment="1" applyProtection="1"/>
    <xf numFmtId="1" fontId="2" fillId="0" borderId="2" xfId="0" applyNumberFormat="1" applyFont="1" applyFill="1" applyBorder="1" applyProtection="1"/>
    <xf numFmtId="0" fontId="4" fillId="17" borderId="0" xfId="0" applyFont="1" applyFill="1" applyProtection="1"/>
    <xf numFmtId="0" fontId="4" fillId="0" borderId="0" xfId="0" applyFont="1" applyProtection="1"/>
    <xf numFmtId="0" fontId="2" fillId="0" borderId="0" xfId="0" applyFont="1" applyAlignment="1" applyProtection="1">
      <alignment horizontal="left"/>
    </xf>
    <xf numFmtId="0" fontId="2" fillId="0" borderId="0" xfId="0" applyFont="1" applyBorder="1" applyProtection="1"/>
    <xf numFmtId="0" fontId="2" fillId="0" borderId="0" xfId="0" applyFont="1" applyFill="1" applyBorder="1" applyProtection="1"/>
    <xf numFmtId="0" fontId="2" fillId="0" borderId="0" xfId="0" applyFont="1" applyProtection="1"/>
    <xf numFmtId="1" fontId="2" fillId="0" borderId="0" xfId="0" applyNumberFormat="1" applyFont="1" applyFill="1" applyBorder="1" applyProtection="1"/>
    <xf numFmtId="0" fontId="2" fillId="0" borderId="0" xfId="0" applyFont="1" applyBorder="1" applyAlignment="1" applyProtection="1">
      <alignment horizontal="right"/>
    </xf>
    <xf numFmtId="0" fontId="2" fillId="0" borderId="1" xfId="0" applyFont="1" applyBorder="1" applyProtection="1"/>
    <xf numFmtId="0" fontId="4" fillId="0" borderId="9" xfId="0" applyFont="1" applyBorder="1" applyProtection="1"/>
    <xf numFmtId="0" fontId="2" fillId="0" borderId="2" xfId="0" applyFont="1" applyBorder="1" applyProtection="1"/>
    <xf numFmtId="0" fontId="2" fillId="0" borderId="0" xfId="0" applyFont="1" applyFill="1" applyBorder="1" applyAlignment="1" applyProtection="1">
      <alignment horizontal="right"/>
    </xf>
    <xf numFmtId="0" fontId="2" fillId="0" borderId="2" xfId="0" applyFont="1" applyBorder="1" applyAlignment="1" applyProtection="1">
      <alignment horizontal="right"/>
    </xf>
    <xf numFmtId="0" fontId="9" fillId="2" borderId="0" xfId="0" applyFont="1" applyFill="1" applyProtection="1"/>
    <xf numFmtId="0" fontId="2" fillId="0" borderId="1" xfId="0" applyFont="1" applyBorder="1" applyAlignment="1" applyProtection="1">
      <alignment horizontal="right"/>
    </xf>
    <xf numFmtId="0" fontId="2" fillId="0" borderId="2" xfId="0" applyFont="1" applyFill="1" applyBorder="1" applyAlignment="1" applyProtection="1"/>
    <xf numFmtId="0" fontId="62" fillId="0" borderId="0" xfId="0" applyFont="1" applyProtection="1"/>
    <xf numFmtId="0" fontId="2" fillId="0" borderId="0" xfId="0" applyFont="1" applyBorder="1" applyAlignment="1" applyProtection="1">
      <alignment horizontal="left"/>
    </xf>
    <xf numFmtId="166" fontId="2" fillId="0" borderId="2" xfId="0" applyNumberFormat="1" applyFont="1" applyFill="1" applyBorder="1" applyProtection="1"/>
    <xf numFmtId="0" fontId="12" fillId="0" borderId="0" xfId="0" applyFont="1" applyBorder="1" applyAlignment="1" applyProtection="1">
      <alignment horizontal="left"/>
    </xf>
    <xf numFmtId="0" fontId="9" fillId="0" borderId="0" xfId="0" applyFont="1" applyFill="1" applyProtection="1"/>
    <xf numFmtId="0" fontId="2" fillId="0" borderId="0" xfId="0" applyFont="1" applyAlignment="1" applyProtection="1">
      <alignment horizontal="left" indent="1"/>
    </xf>
    <xf numFmtId="0" fontId="63" fillId="0" borderId="0" xfId="0" applyFont="1" applyProtection="1"/>
    <xf numFmtId="9" fontId="63" fillId="0" borderId="0" xfId="0" applyNumberFormat="1" applyFont="1" applyFill="1" applyProtection="1"/>
    <xf numFmtId="0" fontId="64" fillId="0" borderId="0" xfId="0" applyFont="1" applyProtection="1"/>
    <xf numFmtId="0" fontId="2" fillId="0" borderId="0" xfId="0" applyFont="1" applyFill="1" applyBorder="1" applyAlignment="1" applyProtection="1">
      <alignment horizontal="center"/>
    </xf>
    <xf numFmtId="0" fontId="2" fillId="0" borderId="0" xfId="0" applyFont="1" applyBorder="1" applyAlignment="1" applyProtection="1">
      <alignment horizontal="left" indent="1"/>
    </xf>
    <xf numFmtId="9" fontId="2" fillId="0" borderId="0" xfId="3" applyFont="1" applyFill="1" applyBorder="1" applyProtection="1"/>
    <xf numFmtId="166" fontId="2" fillId="0" borderId="0" xfId="3" applyNumberFormat="1" applyFont="1" applyProtection="1"/>
    <xf numFmtId="164" fontId="2" fillId="0" borderId="0" xfId="0" applyNumberFormat="1" applyFont="1" applyFill="1" applyProtection="1"/>
    <xf numFmtId="0" fontId="2" fillId="0" borderId="0" xfId="0" applyFont="1" applyFill="1" applyBorder="1" applyAlignment="1" applyProtection="1">
      <alignment horizontal="left" indent="1"/>
    </xf>
    <xf numFmtId="0" fontId="2" fillId="0" borderId="1" xfId="0" applyFont="1" applyFill="1" applyBorder="1" applyAlignment="1" applyProtection="1">
      <alignment horizontal="left" indent="1"/>
    </xf>
    <xf numFmtId="9" fontId="2" fillId="0" borderId="1" xfId="3" applyFont="1" applyFill="1" applyBorder="1" applyProtection="1"/>
    <xf numFmtId="0" fontId="62" fillId="0" borderId="0" xfId="0" applyFont="1" applyFill="1" applyBorder="1" applyAlignment="1" applyProtection="1">
      <alignment horizontal="left"/>
    </xf>
    <xf numFmtId="9" fontId="2" fillId="0" borderId="0" xfId="0" applyNumberFormat="1" applyFont="1" applyFill="1" applyBorder="1" applyProtection="1"/>
    <xf numFmtId="0" fontId="62" fillId="0" borderId="0" xfId="0" applyFont="1" applyFill="1" applyBorder="1" applyProtection="1"/>
    <xf numFmtId="0" fontId="4" fillId="0" borderId="0" xfId="0" applyFont="1" applyBorder="1" applyAlignment="1" applyProtection="1">
      <alignment horizontal="left"/>
    </xf>
    <xf numFmtId="166" fontId="2" fillId="0" borderId="2" xfId="3" applyNumberFormat="1" applyFont="1" applyBorder="1" applyProtection="1"/>
    <xf numFmtId="166" fontId="2" fillId="0" borderId="2" xfId="0" applyNumberFormat="1" applyFont="1" applyBorder="1" applyProtection="1"/>
    <xf numFmtId="165" fontId="2" fillId="0" borderId="2" xfId="0" applyNumberFormat="1" applyFont="1" applyBorder="1" applyProtection="1"/>
    <xf numFmtId="0" fontId="4" fillId="0" borderId="0" xfId="0" applyFont="1" applyFill="1" applyBorder="1" applyAlignment="1" applyProtection="1">
      <alignment horizontal="left"/>
    </xf>
    <xf numFmtId="0" fontId="2" fillId="0" borderId="0" xfId="0" applyFont="1" applyBorder="1" applyAlignment="1" applyProtection="1">
      <alignment horizontal="left" indent="2"/>
    </xf>
    <xf numFmtId="164" fontId="2" fillId="0" borderId="0" xfId="8" applyNumberFormat="1" applyFont="1" applyFill="1" applyBorder="1" applyProtection="1"/>
    <xf numFmtId="1" fontId="2" fillId="0" borderId="15" xfId="0" applyNumberFormat="1" applyFont="1" applyFill="1" applyBorder="1" applyProtection="1"/>
    <xf numFmtId="0" fontId="63" fillId="0" borderId="0" xfId="0" applyFont="1" applyAlignment="1" applyProtection="1">
      <alignment horizontal="left" indent="1"/>
    </xf>
    <xf numFmtId="0" fontId="2" fillId="0" borderId="0" xfId="0" applyFont="1" applyFill="1" applyBorder="1" applyAlignment="1" applyProtection="1">
      <alignment horizontal="left"/>
    </xf>
    <xf numFmtId="0" fontId="2" fillId="0" borderId="0" xfId="0" applyFont="1" applyFill="1" applyBorder="1" applyAlignment="1" applyProtection="1">
      <alignment horizontal="left" indent="2"/>
    </xf>
    <xf numFmtId="0" fontId="2" fillId="0" borderId="1" xfId="0" applyFont="1" applyFill="1" applyBorder="1" applyAlignment="1" applyProtection="1">
      <alignment horizontal="left" indent="2"/>
    </xf>
    <xf numFmtId="0" fontId="2" fillId="0" borderId="19" xfId="0" applyFont="1" applyFill="1" applyBorder="1" applyAlignment="1" applyProtection="1">
      <alignment horizontal="center"/>
    </xf>
    <xf numFmtId="1" fontId="4" fillId="0" borderId="0" xfId="0" applyNumberFormat="1" applyFont="1" applyFill="1" applyBorder="1" applyProtection="1"/>
    <xf numFmtId="166" fontId="2" fillId="0" borderId="0" xfId="0" applyNumberFormat="1" applyFont="1" applyFill="1" applyBorder="1" applyProtection="1"/>
    <xf numFmtId="0" fontId="4" fillId="0" borderId="0" xfId="0" applyFont="1" applyBorder="1" applyAlignment="1" applyProtection="1">
      <alignment horizontal="right"/>
    </xf>
    <xf numFmtId="0" fontId="3" fillId="17" borderId="0" xfId="0" applyFont="1" applyFill="1" applyProtection="1"/>
    <xf numFmtId="0" fontId="2" fillId="9" borderId="0" xfId="0" applyFont="1" applyFill="1" applyAlignment="1" applyProtection="1">
      <alignment horizontal="left"/>
    </xf>
    <xf numFmtId="0" fontId="4" fillId="19" borderId="17" xfId="0" applyFont="1" applyFill="1" applyBorder="1" applyAlignment="1" applyProtection="1">
      <alignment horizontal="left"/>
    </xf>
    <xf numFmtId="9" fontId="0" fillId="19" borderId="29" xfId="0" applyNumberFormat="1" applyFill="1" applyBorder="1" applyAlignment="1" applyProtection="1">
      <alignment horizontal="center"/>
    </xf>
    <xf numFmtId="164" fontId="2" fillId="0" borderId="2" xfId="0" applyNumberFormat="1" applyFont="1" applyFill="1" applyBorder="1" applyProtection="1"/>
    <xf numFmtId="0" fontId="12" fillId="0" borderId="0" xfId="0" applyFont="1" applyProtection="1"/>
    <xf numFmtId="0" fontId="63" fillId="0" borderId="0" xfId="0" applyFont="1" applyFill="1" applyBorder="1" applyProtection="1"/>
    <xf numFmtId="1" fontId="2" fillId="0" borderId="2" xfId="0" applyNumberFormat="1" applyFont="1" applyBorder="1" applyProtection="1"/>
    <xf numFmtId="166" fontId="2" fillId="0" borderId="2" xfId="3" applyNumberFormat="1" applyFont="1" applyFill="1" applyBorder="1" applyProtection="1"/>
    <xf numFmtId="166" fontId="2" fillId="16" borderId="2" xfId="0" applyNumberFormat="1" applyFont="1" applyFill="1" applyBorder="1" applyAlignment="1" applyProtection="1">
      <alignment horizontal="center"/>
      <protection locked="0"/>
    </xf>
    <xf numFmtId="166" fontId="2" fillId="16" borderId="6" xfId="0" applyNumberFormat="1" applyFont="1" applyFill="1" applyBorder="1" applyAlignment="1" applyProtection="1">
      <alignment horizontal="center"/>
      <protection locked="0"/>
    </xf>
    <xf numFmtId="0" fontId="2" fillId="9" borderId="0" xfId="0" applyFont="1" applyFill="1" applyBorder="1" applyAlignment="1" applyProtection="1">
      <alignment horizontal="right"/>
    </xf>
    <xf numFmtId="0" fontId="2" fillId="9" borderId="1" xfId="0" applyFont="1" applyFill="1" applyBorder="1" applyAlignment="1" applyProtection="1">
      <alignment horizontal="right"/>
    </xf>
    <xf numFmtId="164" fontId="2" fillId="0" borderId="2" xfId="0" applyNumberFormat="1" applyFont="1" applyBorder="1" applyProtection="1"/>
    <xf numFmtId="0" fontId="2" fillId="0" borderId="25" xfId="0" applyFont="1" applyBorder="1" applyProtection="1"/>
    <xf numFmtId="164" fontId="63" fillId="0" borderId="0" xfId="0" applyNumberFormat="1" applyFont="1" applyBorder="1" applyProtection="1"/>
    <xf numFmtId="0" fontId="2" fillId="3" borderId="6" xfId="0" applyFont="1" applyFill="1" applyBorder="1" applyAlignment="1" applyProtection="1">
      <alignment horizontal="right"/>
    </xf>
    <xf numFmtId="0" fontId="2" fillId="3" borderId="2" xfId="0" applyFont="1" applyFill="1" applyBorder="1" applyAlignment="1" applyProtection="1">
      <alignment horizontal="right"/>
    </xf>
    <xf numFmtId="0" fontId="0" fillId="9" borderId="0" xfId="0" applyFill="1" applyAlignment="1" applyProtection="1">
      <alignment horizontal="left"/>
    </xf>
    <xf numFmtId="0" fontId="4" fillId="9" borderId="1" xfId="0" applyFont="1" applyFill="1" applyBorder="1" applyAlignment="1" applyProtection="1">
      <alignment horizontal="left"/>
    </xf>
    <xf numFmtId="169" fontId="6" fillId="4" borderId="2" xfId="0" applyNumberFormat="1" applyFont="1" applyFill="1" applyBorder="1" applyAlignment="1" applyProtection="1">
      <alignment horizontal="left"/>
    </xf>
    <xf numFmtId="0" fontId="2" fillId="3" borderId="0" xfId="0" applyFont="1" applyFill="1" applyAlignment="1" applyProtection="1">
      <alignment horizontal="left" indent="2"/>
    </xf>
    <xf numFmtId="0" fontId="2" fillId="9" borderId="0" xfId="0" applyFont="1" applyFill="1" applyAlignment="1" applyProtection="1">
      <alignment horizontal="left" indent="2"/>
    </xf>
    <xf numFmtId="0" fontId="2" fillId="9" borderId="0" xfId="0" applyFont="1" applyFill="1" applyBorder="1" applyAlignment="1" applyProtection="1">
      <alignment horizontal="left" indent="2"/>
    </xf>
    <xf numFmtId="0" fontId="2" fillId="9" borderId="1" xfId="0" applyFont="1" applyFill="1" applyBorder="1" applyAlignment="1" applyProtection="1">
      <alignment horizontal="left" indent="2"/>
    </xf>
    <xf numFmtId="0" fontId="7" fillId="9" borderId="0" xfId="1" applyFill="1" applyAlignment="1" applyProtection="1">
      <alignment horizontal="left"/>
    </xf>
    <xf numFmtId="0" fontId="7" fillId="9" borderId="0" xfId="1" applyFill="1" applyAlignment="1" applyProtection="1"/>
    <xf numFmtId="9" fontId="2" fillId="5" borderId="2" xfId="3" applyFont="1" applyFill="1" applyBorder="1" applyAlignment="1" applyProtection="1">
      <alignment horizontal="center"/>
      <protection locked="0"/>
    </xf>
    <xf numFmtId="166" fontId="2" fillId="5" borderId="2" xfId="3" applyNumberFormat="1" applyFont="1" applyFill="1" applyBorder="1" applyAlignment="1" applyProtection="1">
      <alignment horizontal="center"/>
      <protection locked="0"/>
    </xf>
    <xf numFmtId="164" fontId="2" fillId="5" borderId="2" xfId="3" applyNumberFormat="1" applyFont="1" applyFill="1" applyBorder="1" applyAlignment="1" applyProtection="1">
      <alignment horizontal="center"/>
      <protection locked="0"/>
    </xf>
    <xf numFmtId="0" fontId="4" fillId="9" borderId="0" xfId="0" applyFont="1" applyFill="1" applyProtection="1"/>
    <xf numFmtId="0" fontId="16" fillId="9" borderId="0" xfId="0" applyFont="1" applyFill="1" applyProtection="1"/>
    <xf numFmtId="166" fontId="2" fillId="5" borderId="6" xfId="3" applyNumberFormat="1" applyFont="1" applyFill="1" applyBorder="1" applyAlignment="1" applyProtection="1">
      <alignment horizontal="center"/>
      <protection locked="0"/>
    </xf>
    <xf numFmtId="9" fontId="2" fillId="16" borderId="2" xfId="0" applyNumberFormat="1" applyFont="1" applyFill="1" applyBorder="1" applyProtection="1">
      <protection locked="0"/>
    </xf>
    <xf numFmtId="0" fontId="0" fillId="16" borderId="2" xfId="0" applyFill="1" applyBorder="1" applyAlignment="1" applyProtection="1">
      <alignment horizontal="right"/>
      <protection locked="0"/>
    </xf>
    <xf numFmtId="3" fontId="0" fillId="16" borderId="2" xfId="0" applyNumberFormat="1" applyFill="1" applyBorder="1" applyAlignment="1" applyProtection="1">
      <alignment horizontal="right"/>
      <protection locked="0"/>
    </xf>
    <xf numFmtId="0" fontId="2" fillId="20" borderId="0" xfId="0" applyFont="1" applyFill="1" applyProtection="1"/>
    <xf numFmtId="0" fontId="2" fillId="3" borderId="0" xfId="0" applyFont="1" applyFill="1" applyAlignment="1" applyProtection="1">
      <alignment horizontal="left" indent="1"/>
    </xf>
    <xf numFmtId="0" fontId="2" fillId="9" borderId="0" xfId="0" applyFont="1" applyFill="1" applyBorder="1" applyAlignment="1" applyProtection="1">
      <alignment horizontal="left" indent="4"/>
    </xf>
    <xf numFmtId="0" fontId="2" fillId="3" borderId="0" xfId="0" applyFont="1" applyFill="1" applyBorder="1" applyAlignment="1" applyProtection="1">
      <alignment horizontal="left"/>
    </xf>
    <xf numFmtId="164" fontId="0" fillId="9" borderId="0" xfId="0" applyNumberFormat="1" applyFill="1" applyBorder="1" applyAlignment="1" applyProtection="1">
      <alignment horizontal="center"/>
    </xf>
    <xf numFmtId="10" fontId="32" fillId="3" borderId="0" xfId="0" applyNumberFormat="1" applyFont="1" applyFill="1" applyAlignment="1" applyProtection="1">
      <alignment horizontal="center"/>
    </xf>
    <xf numFmtId="10" fontId="32" fillId="9" borderId="0" xfId="0" applyNumberFormat="1" applyFont="1" applyFill="1" applyAlignment="1" applyProtection="1">
      <alignment horizontal="center"/>
    </xf>
    <xf numFmtId="10" fontId="32" fillId="3" borderId="0" xfId="0" applyNumberFormat="1" applyFont="1" applyFill="1" applyBorder="1" applyAlignment="1" applyProtection="1">
      <alignment horizontal="center"/>
    </xf>
    <xf numFmtId="166" fontId="2" fillId="5" borderId="15" xfId="3" applyNumberFormat="1" applyFont="1" applyFill="1" applyBorder="1" applyAlignment="1" applyProtection="1">
      <alignment horizontal="center"/>
      <protection locked="0"/>
    </xf>
    <xf numFmtId="10" fontId="32" fillId="3" borderId="20" xfId="0" applyNumberFormat="1" applyFont="1" applyFill="1" applyBorder="1" applyAlignment="1" applyProtection="1">
      <alignment horizontal="center"/>
    </xf>
    <xf numFmtId="9" fontId="2" fillId="5" borderId="15" xfId="3" applyFont="1" applyFill="1" applyBorder="1" applyAlignment="1" applyProtection="1">
      <alignment horizontal="center"/>
      <protection locked="0"/>
    </xf>
    <xf numFmtId="9" fontId="2" fillId="5" borderId="6" xfId="3" applyFont="1" applyFill="1" applyBorder="1" applyAlignment="1" applyProtection="1">
      <alignment horizontal="center"/>
      <protection locked="0"/>
    </xf>
    <xf numFmtId="0" fontId="2" fillId="3" borderId="2" xfId="0" applyFont="1" applyFill="1" applyBorder="1" applyProtection="1"/>
    <xf numFmtId="0" fontId="71" fillId="3" borderId="0" xfId="0" applyFont="1" applyFill="1" applyAlignment="1" applyProtection="1">
      <alignment horizontal="center"/>
    </xf>
    <xf numFmtId="0" fontId="2" fillId="3" borderId="22" xfId="0" applyFont="1" applyFill="1" applyBorder="1" applyAlignment="1" applyProtection="1">
      <alignment horizontal="left"/>
    </xf>
    <xf numFmtId="0" fontId="2" fillId="3" borderId="1" xfId="0" applyFont="1" applyFill="1" applyBorder="1" applyAlignment="1" applyProtection="1">
      <alignment horizontal="left"/>
    </xf>
    <xf numFmtId="10" fontId="2" fillId="3" borderId="0" xfId="0" applyNumberFormat="1" applyFont="1" applyFill="1" applyBorder="1" applyAlignment="1" applyProtection="1">
      <alignment horizontal="center"/>
    </xf>
    <xf numFmtId="0" fontId="16" fillId="3" borderId="0" xfId="0" applyFont="1" applyFill="1" applyAlignment="1" applyProtection="1">
      <alignment horizontal="left"/>
    </xf>
    <xf numFmtId="0" fontId="0" fillId="3" borderId="0" xfId="0" applyFill="1" applyAlignment="1">
      <alignment horizontal="left"/>
    </xf>
    <xf numFmtId="1" fontId="2" fillId="15" borderId="2" xfId="0" applyNumberFormat="1" applyFont="1" applyFill="1" applyBorder="1" applyProtection="1"/>
    <xf numFmtId="0" fontId="2" fillId="15" borderId="2" xfId="0" applyFont="1" applyFill="1" applyBorder="1" applyProtection="1"/>
    <xf numFmtId="0" fontId="2" fillId="3" borderId="3" xfId="0" applyFont="1" applyFill="1" applyBorder="1" applyAlignment="1" applyProtection="1">
      <alignment wrapText="1"/>
    </xf>
    <xf numFmtId="3" fontId="2" fillId="16" borderId="6" xfId="0" applyNumberFormat="1" applyFont="1" applyFill="1" applyBorder="1" applyAlignment="1" applyProtection="1">
      <alignment horizontal="center"/>
      <protection locked="0"/>
    </xf>
    <xf numFmtId="0" fontId="13" fillId="3" borderId="0" xfId="0" applyFont="1" applyFill="1" applyProtection="1"/>
    <xf numFmtId="0" fontId="0" fillId="3" borderId="0" xfId="0" applyFill="1" applyBorder="1" applyAlignment="1" applyProtection="1">
      <alignment horizontal="center"/>
    </xf>
    <xf numFmtId="0" fontId="0" fillId="0" borderId="0" xfId="0" applyProtection="1"/>
    <xf numFmtId="0" fontId="24" fillId="3" borderId="0" xfId="0" applyFont="1" applyFill="1" applyBorder="1" applyProtection="1"/>
    <xf numFmtId="0" fontId="33" fillId="3" borderId="0" xfId="0" applyFont="1" applyFill="1" applyProtection="1"/>
    <xf numFmtId="0" fontId="16" fillId="3" borderId="0" xfId="0" applyFont="1" applyFill="1" applyBorder="1" applyProtection="1"/>
    <xf numFmtId="9" fontId="0" fillId="3" borderId="0" xfId="0" applyNumberFormat="1" applyFill="1" applyAlignment="1" applyProtection="1">
      <alignment horizontal="center"/>
    </xf>
    <xf numFmtId="0" fontId="11" fillId="3" borderId="0" xfId="0" applyFont="1" applyFill="1" applyProtection="1"/>
    <xf numFmtId="0" fontId="17" fillId="3" borderId="0" xfId="0" applyFont="1" applyFill="1" applyProtection="1"/>
    <xf numFmtId="0" fontId="9" fillId="3" borderId="0" xfId="0" applyFont="1" applyFill="1" applyProtection="1"/>
    <xf numFmtId="9" fontId="2" fillId="3" borderId="0" xfId="0" applyNumberFormat="1" applyFont="1" applyFill="1" applyBorder="1" applyAlignment="1" applyProtection="1">
      <alignment horizontal="center"/>
    </xf>
    <xf numFmtId="0" fontId="0" fillId="9" borderId="1" xfId="0" applyFill="1" applyBorder="1" applyProtection="1"/>
    <xf numFmtId="9" fontId="0" fillId="9" borderId="0" xfId="0" applyNumberFormat="1" applyFill="1" applyBorder="1" applyAlignment="1" applyProtection="1">
      <alignment horizontal="center"/>
    </xf>
    <xf numFmtId="0" fontId="11" fillId="9" borderId="0" xfId="0" applyFont="1" applyFill="1" applyProtection="1"/>
    <xf numFmtId="1" fontId="0" fillId="9" borderId="0" xfId="0" applyNumberFormat="1" applyFill="1" applyBorder="1" applyAlignment="1" applyProtection="1">
      <alignment horizontal="center"/>
    </xf>
    <xf numFmtId="9" fontId="0" fillId="9" borderId="0" xfId="3" applyFont="1" applyFill="1" applyBorder="1" applyAlignment="1" applyProtection="1">
      <alignment horizontal="center"/>
    </xf>
    <xf numFmtId="9" fontId="0" fillId="9" borderId="1" xfId="0" applyNumberFormat="1" applyFill="1" applyBorder="1" applyProtection="1"/>
    <xf numFmtId="9" fontId="27" fillId="9" borderId="0" xfId="0" applyNumberFormat="1" applyFont="1" applyFill="1" applyBorder="1" applyAlignment="1" applyProtection="1">
      <alignment horizontal="center"/>
    </xf>
    <xf numFmtId="0" fontId="0" fillId="9" borderId="0" xfId="0" applyFill="1" applyBorder="1" applyProtection="1"/>
    <xf numFmtId="0" fontId="32" fillId="9" borderId="0" xfId="0" applyFont="1" applyFill="1" applyProtection="1"/>
    <xf numFmtId="9" fontId="27" fillId="9" borderId="0" xfId="3" applyFont="1" applyFill="1" applyBorder="1" applyAlignment="1" applyProtection="1">
      <alignment horizontal="center"/>
    </xf>
    <xf numFmtId="0" fontId="0" fillId="19" borderId="30" xfId="0" applyFill="1" applyBorder="1" applyProtection="1"/>
    <xf numFmtId="9" fontId="0" fillId="19" borderId="30" xfId="0" applyNumberFormat="1" applyFill="1" applyBorder="1" applyAlignment="1" applyProtection="1">
      <alignment horizontal="center"/>
    </xf>
    <xf numFmtId="0" fontId="11" fillId="19" borderId="18" xfId="0" applyFont="1"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4" borderId="4" xfId="0" applyFill="1" applyBorder="1" applyProtection="1"/>
    <xf numFmtId="164" fontId="0" fillId="4" borderId="0" xfId="0" applyNumberFormat="1" applyFill="1" applyBorder="1" applyAlignment="1" applyProtection="1">
      <alignment horizontal="center"/>
    </xf>
    <xf numFmtId="166" fontId="0" fillId="4" borderId="0" xfId="3" applyNumberFormat="1" applyFont="1" applyFill="1" applyBorder="1" applyAlignment="1" applyProtection="1">
      <alignment horizontal="center"/>
    </xf>
    <xf numFmtId="0" fontId="0" fillId="4" borderId="10" xfId="0" applyFill="1" applyBorder="1" applyProtection="1"/>
    <xf numFmtId="0" fontId="0" fillId="4" borderId="11" xfId="0" applyFill="1" applyBorder="1" applyProtection="1"/>
    <xf numFmtId="0" fontId="0" fillId="4" borderId="12" xfId="0" applyFill="1" applyBorder="1" applyProtection="1"/>
    <xf numFmtId="0" fontId="31" fillId="0" borderId="0" xfId="0" applyFont="1" applyProtection="1"/>
    <xf numFmtId="0" fontId="22" fillId="3" borderId="0" xfId="0" applyFont="1" applyFill="1" applyProtection="1"/>
    <xf numFmtId="0" fontId="22" fillId="3" borderId="1" xfId="0" applyFont="1" applyFill="1" applyBorder="1" applyProtection="1"/>
    <xf numFmtId="0" fontId="4" fillId="9" borderId="1" xfId="0" applyFont="1" applyFill="1" applyBorder="1" applyProtection="1"/>
    <xf numFmtId="0" fontId="39" fillId="3" borderId="0" xfId="0" applyFont="1" applyFill="1" applyAlignment="1" applyProtection="1">
      <alignment horizontal="right"/>
    </xf>
    <xf numFmtId="0" fontId="0" fillId="17" borderId="0" xfId="0" applyFill="1" applyBorder="1" applyProtection="1"/>
    <xf numFmtId="0" fontId="0" fillId="17" borderId="25" xfId="0" applyFill="1" applyBorder="1" applyProtection="1"/>
    <xf numFmtId="0" fontId="0" fillId="9" borderId="0" xfId="0" applyFill="1" applyAlignment="1" applyProtection="1">
      <alignment horizontal="center"/>
    </xf>
    <xf numFmtId="0" fontId="0" fillId="17" borderId="1" xfId="0" applyFill="1" applyBorder="1" applyProtection="1"/>
    <xf numFmtId="0" fontId="0" fillId="17" borderId="14" xfId="0" applyFill="1" applyBorder="1" applyProtection="1"/>
    <xf numFmtId="0" fontId="0" fillId="20" borderId="0" xfId="0" applyFill="1" applyProtection="1"/>
    <xf numFmtId="0" fontId="0" fillId="20" borderId="0" xfId="0" applyFill="1" applyBorder="1" applyProtection="1"/>
    <xf numFmtId="0" fontId="4" fillId="17" borderId="22" xfId="0" applyFont="1" applyFill="1" applyBorder="1" applyProtection="1"/>
    <xf numFmtId="0" fontId="0" fillId="17" borderId="20" xfId="0" applyFill="1" applyBorder="1" applyProtection="1"/>
    <xf numFmtId="0" fontId="0" fillId="17" borderId="23" xfId="0" applyFill="1" applyBorder="1" applyProtection="1"/>
    <xf numFmtId="0" fontId="17" fillId="17" borderId="24" xfId="0" applyFont="1" applyFill="1" applyBorder="1" applyProtection="1"/>
    <xf numFmtId="0" fontId="2" fillId="17" borderId="0" xfId="0" applyFont="1" applyFill="1" applyBorder="1" applyAlignment="1" applyProtection="1">
      <alignment horizontal="center"/>
    </xf>
    <xf numFmtId="166" fontId="0" fillId="3" borderId="0" xfId="3" applyNumberFormat="1" applyFont="1" applyFill="1" applyProtection="1"/>
    <xf numFmtId="0" fontId="0" fillId="17" borderId="24" xfId="0" applyFill="1" applyBorder="1" applyProtection="1"/>
    <xf numFmtId="0" fontId="2" fillId="20" borderId="0" xfId="0" applyFont="1" applyFill="1" applyBorder="1" applyAlignment="1" applyProtection="1">
      <alignment horizontal="right"/>
    </xf>
    <xf numFmtId="0" fontId="2" fillId="20" borderId="0" xfId="0" applyFont="1" applyFill="1" applyBorder="1" applyAlignment="1" applyProtection="1">
      <alignment horizontal="center"/>
    </xf>
    <xf numFmtId="0" fontId="2" fillId="17" borderId="24" xfId="0" applyFont="1" applyFill="1" applyBorder="1" applyProtection="1"/>
    <xf numFmtId="3" fontId="0" fillId="20" borderId="0" xfId="0" applyNumberFormat="1" applyFill="1" applyBorder="1" applyAlignment="1" applyProtection="1">
      <alignment horizontal="right"/>
    </xf>
    <xf numFmtId="0" fontId="0" fillId="17" borderId="0" xfId="0" applyFill="1" applyBorder="1" applyAlignment="1" applyProtection="1">
      <alignment horizontal="left"/>
    </xf>
    <xf numFmtId="0" fontId="2" fillId="17" borderId="0" xfId="0" applyFont="1" applyFill="1" applyBorder="1" applyProtection="1"/>
    <xf numFmtId="0" fontId="2" fillId="17" borderId="19" xfId="0" applyFont="1" applyFill="1" applyBorder="1" applyProtection="1"/>
    <xf numFmtId="3" fontId="0" fillId="17" borderId="1" xfId="0" applyNumberFormat="1" applyFill="1" applyBorder="1" applyAlignment="1" applyProtection="1">
      <alignment horizontal="right"/>
    </xf>
    <xf numFmtId="0" fontId="2" fillId="17" borderId="1" xfId="0" applyFont="1" applyFill="1" applyBorder="1" applyAlignment="1" applyProtection="1">
      <alignment horizontal="left"/>
    </xf>
    <xf numFmtId="0" fontId="32" fillId="3" borderId="0" xfId="0" applyFont="1" applyFill="1" applyProtection="1"/>
    <xf numFmtId="0" fontId="6" fillId="4" borderId="0" xfId="0" applyFont="1" applyFill="1" applyBorder="1" applyProtection="1"/>
    <xf numFmtId="0" fontId="6" fillId="4" borderId="4" xfId="0" applyFont="1" applyFill="1" applyBorder="1" applyProtection="1"/>
    <xf numFmtId="0" fontId="41" fillId="3" borderId="0" xfId="0" applyFont="1" applyFill="1" applyProtection="1"/>
    <xf numFmtId="0" fontId="2" fillId="3" borderId="0" xfId="0" quotePrefix="1" applyFont="1" applyFill="1" applyProtection="1"/>
    <xf numFmtId="0" fontId="2" fillId="20" borderId="2" xfId="0" quotePrefix="1" applyFont="1" applyFill="1" applyBorder="1" applyProtection="1"/>
    <xf numFmtId="166" fontId="0" fillId="20" borderId="0" xfId="3" applyNumberFormat="1" applyFont="1" applyFill="1" applyBorder="1" applyProtection="1"/>
    <xf numFmtId="0" fontId="10" fillId="3" borderId="0" xfId="0" applyFont="1" applyFill="1" applyProtection="1"/>
    <xf numFmtId="166" fontId="0" fillId="20" borderId="1" xfId="3" applyNumberFormat="1" applyFont="1" applyFill="1" applyBorder="1" applyProtection="1"/>
    <xf numFmtId="0" fontId="32" fillId="9" borderId="0" xfId="0" applyFont="1" applyFill="1" applyBorder="1" applyProtection="1"/>
    <xf numFmtId="10" fontId="0" fillId="3" borderId="0" xfId="0" applyNumberFormat="1" applyFill="1" applyBorder="1" applyProtection="1"/>
    <xf numFmtId="0" fontId="72" fillId="3" borderId="1" xfId="0" applyFont="1" applyFill="1" applyBorder="1" applyAlignment="1" applyProtection="1">
      <alignment horizontal="center"/>
    </xf>
    <xf numFmtId="0" fontId="32" fillId="3" borderId="0" xfId="0" applyFont="1" applyFill="1" applyBorder="1" applyProtection="1"/>
    <xf numFmtId="1" fontId="2" fillId="20" borderId="2" xfId="0" applyNumberFormat="1" applyFont="1" applyFill="1" applyBorder="1" applyProtection="1"/>
    <xf numFmtId="0" fontId="2" fillId="9" borderId="1" xfId="0" applyFont="1" applyFill="1" applyBorder="1" applyAlignment="1" applyProtection="1">
      <alignment horizontal="left"/>
    </xf>
    <xf numFmtId="1" fontId="2" fillId="9" borderId="0" xfId="0" applyNumberFormat="1" applyFont="1" applyFill="1" applyBorder="1" applyProtection="1"/>
    <xf numFmtId="0" fontId="0" fillId="9" borderId="0" xfId="0" applyFill="1" applyBorder="1" applyAlignment="1" applyProtection="1">
      <alignment horizontal="center"/>
    </xf>
    <xf numFmtId="0" fontId="42" fillId="9" borderId="0" xfId="0" applyFont="1" applyFill="1" applyBorder="1" applyProtection="1"/>
    <xf numFmtId="0" fontId="2" fillId="9" borderId="0" xfId="0" applyFont="1" applyFill="1" applyAlignment="1" applyProtection="1"/>
    <xf numFmtId="0" fontId="2" fillId="9" borderId="0" xfId="0" applyFont="1" applyFill="1" applyBorder="1" applyAlignment="1" applyProtection="1">
      <alignment horizontal="left" wrapText="1"/>
    </xf>
    <xf numFmtId="0" fontId="38" fillId="3" borderId="0" xfId="0" applyFont="1" applyFill="1" applyProtection="1"/>
    <xf numFmtId="0" fontId="2" fillId="9" borderId="0" xfId="0" applyFont="1" applyFill="1" applyAlignment="1" applyProtection="1">
      <alignment horizontal="center"/>
    </xf>
    <xf numFmtId="0" fontId="4" fillId="0" borderId="2" xfId="0" applyFont="1" applyFill="1" applyBorder="1" applyAlignment="1" applyProtection="1">
      <alignment horizontal="center"/>
    </xf>
    <xf numFmtId="0" fontId="32" fillId="9" borderId="0" xfId="0" applyFont="1" applyFill="1" applyAlignment="1" applyProtection="1"/>
    <xf numFmtId="0" fontId="2" fillId="9" borderId="14" xfId="0" applyFont="1" applyFill="1" applyBorder="1" applyAlignment="1" applyProtection="1">
      <alignment horizontal="center"/>
    </xf>
    <xf numFmtId="0" fontId="0" fillId="19" borderId="9" xfId="0" applyFill="1" applyBorder="1" applyProtection="1"/>
    <xf numFmtId="0" fontId="0" fillId="19" borderId="0" xfId="0" applyFill="1" applyBorder="1" applyProtection="1"/>
    <xf numFmtId="0" fontId="0" fillId="19" borderId="8" xfId="0" applyFill="1" applyBorder="1" applyProtection="1"/>
    <xf numFmtId="0" fontId="0" fillId="19" borderId="12" xfId="0" applyFill="1" applyBorder="1" applyProtection="1"/>
    <xf numFmtId="0" fontId="16" fillId="5" borderId="3" xfId="0" applyFont="1" applyFill="1" applyBorder="1" applyProtection="1">
      <protection locked="0"/>
    </xf>
    <xf numFmtId="9" fontId="0" fillId="5" borderId="6" xfId="0" applyNumberFormat="1" applyFill="1" applyBorder="1" applyAlignment="1" applyProtection="1">
      <alignment horizontal="center"/>
      <protection locked="0"/>
    </xf>
    <xf numFmtId="1" fontId="2" fillId="5" borderId="2"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27" fillId="3" borderId="0" xfId="0" applyFont="1" applyFill="1" applyBorder="1" applyProtection="1"/>
    <xf numFmtId="0" fontId="45" fillId="3" borderId="0" xfId="0" applyFont="1" applyFill="1" applyProtection="1"/>
    <xf numFmtId="0" fontId="46" fillId="3" borderId="0" xfId="0" applyFont="1" applyFill="1" applyProtection="1"/>
    <xf numFmtId="0" fontId="47" fillId="3" borderId="0" xfId="0" applyFont="1" applyFill="1" applyBorder="1" applyProtection="1"/>
    <xf numFmtId="0" fontId="49" fillId="3" borderId="0" xfId="0" applyFont="1" applyFill="1" applyBorder="1" applyProtection="1"/>
    <xf numFmtId="0" fontId="72" fillId="3" borderId="1" xfId="0" applyFont="1" applyFill="1" applyBorder="1" applyAlignment="1" applyProtection="1">
      <alignment horizontal="left"/>
    </xf>
    <xf numFmtId="0" fontId="47" fillId="3" borderId="0" xfId="0" applyFont="1" applyFill="1" applyBorder="1" applyAlignment="1" applyProtection="1">
      <alignment horizontal="center"/>
    </xf>
    <xf numFmtId="0" fontId="48" fillId="3" borderId="0" xfId="0" applyFont="1" applyFill="1" applyBorder="1" applyAlignment="1" applyProtection="1">
      <alignment horizontal="center"/>
    </xf>
    <xf numFmtId="0" fontId="13" fillId="9" borderId="0" xfId="0" applyFont="1" applyFill="1" applyBorder="1" applyProtection="1"/>
    <xf numFmtId="0" fontId="22" fillId="3" borderId="0" xfId="0" applyFont="1" applyFill="1" applyBorder="1" applyProtection="1"/>
    <xf numFmtId="0" fontId="10" fillId="3" borderId="1" xfId="0" applyFont="1" applyFill="1" applyBorder="1" applyProtection="1"/>
    <xf numFmtId="166" fontId="27" fillId="3" borderId="0" xfId="0" applyNumberFormat="1" applyFont="1" applyFill="1" applyBorder="1" applyAlignment="1" applyProtection="1">
      <alignment horizontal="center"/>
    </xf>
    <xf numFmtId="0" fontId="9" fillId="9" borderId="0" xfId="0" applyFont="1" applyFill="1" applyBorder="1" applyProtection="1"/>
    <xf numFmtId="0" fontId="2" fillId="9" borderId="14" xfId="0" applyFont="1" applyFill="1" applyBorder="1" applyProtection="1"/>
    <xf numFmtId="0" fontId="13" fillId="3" borderId="0" xfId="0" applyFont="1" applyFill="1" applyBorder="1" applyProtection="1"/>
    <xf numFmtId="10" fontId="27" fillId="3" borderId="0" xfId="0" applyNumberFormat="1" applyFont="1" applyFill="1" applyBorder="1" applyAlignment="1" applyProtection="1">
      <alignment horizontal="center"/>
    </xf>
    <xf numFmtId="0" fontId="9" fillId="3" borderId="0" xfId="0" applyFont="1" applyFill="1" applyBorder="1" applyProtection="1"/>
    <xf numFmtId="0" fontId="32" fillId="3" borderId="0" xfId="0" quotePrefix="1" applyFont="1" applyFill="1" applyProtection="1"/>
    <xf numFmtId="0" fontId="2" fillId="17" borderId="20" xfId="0" applyFont="1" applyFill="1" applyBorder="1" applyProtection="1"/>
    <xf numFmtId="0" fontId="2" fillId="17" borderId="23" xfId="0" applyFont="1" applyFill="1" applyBorder="1" applyProtection="1"/>
    <xf numFmtId="0" fontId="4" fillId="17" borderId="24" xfId="0" applyFont="1" applyFill="1" applyBorder="1" applyProtection="1"/>
    <xf numFmtId="0" fontId="36" fillId="17" borderId="0" xfId="4" applyFont="1" applyFill="1" applyBorder="1" applyProtection="1"/>
    <xf numFmtId="0" fontId="2" fillId="17" borderId="25" xfId="0" applyFont="1" applyFill="1" applyBorder="1" applyProtection="1"/>
    <xf numFmtId="0" fontId="2" fillId="17" borderId="0" xfId="4" applyFont="1" applyFill="1" applyBorder="1" applyProtection="1"/>
    <xf numFmtId="2" fontId="27" fillId="9" borderId="0" xfId="0" applyNumberFormat="1" applyFont="1" applyFill="1" applyBorder="1" applyAlignment="1" applyProtection="1">
      <alignment horizontal="center"/>
    </xf>
    <xf numFmtId="9" fontId="2" fillId="3" borderId="0" xfId="0" applyNumberFormat="1" applyFont="1" applyFill="1" applyProtection="1"/>
    <xf numFmtId="0" fontId="42" fillId="3" borderId="0" xfId="0" applyFont="1" applyFill="1" applyAlignment="1" applyProtection="1">
      <alignment horizontal="right"/>
    </xf>
    <xf numFmtId="0" fontId="7" fillId="3" borderId="0" xfId="1" applyFont="1" applyFill="1" applyBorder="1" applyAlignment="1" applyProtection="1"/>
    <xf numFmtId="0" fontId="36" fillId="17" borderId="0" xfId="4" applyFont="1" applyFill="1" applyBorder="1" applyAlignment="1" applyProtection="1"/>
    <xf numFmtId="0" fontId="42" fillId="3" borderId="0" xfId="0" applyFont="1" applyFill="1" applyBorder="1" applyProtection="1"/>
    <xf numFmtId="9" fontId="32" fillId="17" borderId="24" xfId="0" applyNumberFormat="1" applyFont="1" applyFill="1" applyBorder="1" applyProtection="1"/>
    <xf numFmtId="0" fontId="2" fillId="3" borderId="1" xfId="0" applyFont="1" applyFill="1" applyBorder="1" applyAlignment="1" applyProtection="1">
      <alignment horizontal="right"/>
    </xf>
    <xf numFmtId="0" fontId="4" fillId="17" borderId="19" xfId="0" applyFont="1" applyFill="1" applyBorder="1" applyProtection="1"/>
    <xf numFmtId="0" fontId="4" fillId="17" borderId="1" xfId="0" applyFont="1" applyFill="1" applyBorder="1" applyProtection="1"/>
    <xf numFmtId="0" fontId="2" fillId="17" borderId="1" xfId="0" applyFont="1" applyFill="1" applyBorder="1" applyProtection="1"/>
    <xf numFmtId="0" fontId="2" fillId="17" borderId="14" xfId="0" applyFont="1" applyFill="1" applyBorder="1" applyProtection="1"/>
    <xf numFmtId="9" fontId="27" fillId="3" borderId="0" xfId="0" applyNumberFormat="1" applyFont="1" applyFill="1" applyBorder="1" applyAlignment="1" applyProtection="1">
      <alignment horizontal="center"/>
    </xf>
    <xf numFmtId="9" fontId="32" fillId="3" borderId="0" xfId="0" applyNumberFormat="1" applyFont="1" applyFill="1" applyProtection="1"/>
    <xf numFmtId="9" fontId="2" fillId="3" borderId="20" xfId="0" applyNumberFormat="1" applyFont="1" applyFill="1" applyBorder="1" applyAlignment="1" applyProtection="1">
      <alignment horizontal="center"/>
    </xf>
    <xf numFmtId="0" fontId="2" fillId="3" borderId="20" xfId="0" applyFont="1" applyFill="1" applyBorder="1" applyProtection="1"/>
    <xf numFmtId="0" fontId="9" fillId="3" borderId="0" xfId="0" quotePrefix="1" applyFont="1" applyFill="1" applyProtection="1"/>
    <xf numFmtId="0" fontId="2" fillId="3" borderId="0" xfId="0" applyFont="1" applyFill="1" applyBorder="1" applyAlignment="1" applyProtection="1">
      <alignment horizontal="left" indent="2"/>
    </xf>
    <xf numFmtId="9" fontId="2" fillId="3" borderId="1" xfId="0" applyNumberFormat="1" applyFont="1" applyFill="1" applyBorder="1" applyProtection="1"/>
    <xf numFmtId="9" fontId="2" fillId="9" borderId="0" xfId="0" applyNumberFormat="1" applyFont="1" applyFill="1" applyBorder="1" applyAlignment="1" applyProtection="1">
      <alignment horizontal="left"/>
    </xf>
    <xf numFmtId="2" fontId="2" fillId="9" borderId="0" xfId="0" applyNumberFormat="1" applyFont="1" applyFill="1" applyBorder="1" applyAlignment="1" applyProtection="1">
      <alignment horizontal="center"/>
    </xf>
    <xf numFmtId="9" fontId="2" fillId="9" borderId="0" xfId="3" applyFont="1" applyFill="1" applyBorder="1" applyAlignment="1" applyProtection="1">
      <alignment horizontal="left"/>
    </xf>
    <xf numFmtId="0" fontId="27" fillId="9" borderId="0" xfId="0" applyFont="1" applyFill="1" applyBorder="1" applyProtection="1"/>
    <xf numFmtId="0" fontId="50" fillId="9" borderId="0" xfId="0" applyFont="1" applyFill="1" applyBorder="1" applyProtection="1"/>
    <xf numFmtId="0" fontId="2" fillId="9" borderId="0" xfId="0" applyFont="1" applyFill="1" applyAlignment="1" applyProtection="1">
      <alignment horizontal="right"/>
    </xf>
    <xf numFmtId="166" fontId="2" fillId="9" borderId="0" xfId="0" applyNumberFormat="1" applyFont="1" applyFill="1" applyProtection="1"/>
    <xf numFmtId="166" fontId="27" fillId="9" borderId="0" xfId="0" applyNumberFormat="1" applyFont="1" applyFill="1" applyBorder="1" applyAlignment="1" applyProtection="1">
      <alignment horizontal="center"/>
    </xf>
    <xf numFmtId="166" fontId="70" fillId="9" borderId="0" xfId="0" applyNumberFormat="1" applyFont="1" applyFill="1" applyBorder="1" applyAlignment="1" applyProtection="1">
      <alignment horizontal="left"/>
    </xf>
    <xf numFmtId="9" fontId="2" fillId="9" borderId="1" xfId="0" applyNumberFormat="1" applyFont="1" applyFill="1" applyBorder="1" applyProtection="1"/>
    <xf numFmtId="0" fontId="4" fillId="0" borderId="2" xfId="0" applyFont="1" applyFill="1" applyBorder="1" applyAlignment="1" applyProtection="1">
      <alignment horizontal="left"/>
    </xf>
    <xf numFmtId="0" fontId="2" fillId="15" borderId="0" xfId="0" applyFont="1" applyFill="1" applyProtection="1"/>
    <xf numFmtId="0" fontId="32" fillId="0" borderId="0" xfId="0" applyFont="1" applyProtection="1"/>
    <xf numFmtId="1" fontId="38" fillId="0" borderId="0" xfId="0" applyNumberFormat="1" applyFont="1" applyProtection="1"/>
    <xf numFmtId="0" fontId="65" fillId="17" borderId="0" xfId="0" applyFont="1" applyFill="1" applyProtection="1"/>
    <xf numFmtId="0" fontId="66" fillId="2" borderId="0" xfId="0" applyFont="1" applyFill="1" applyProtection="1"/>
    <xf numFmtId="0" fontId="66" fillId="17" borderId="0" xfId="0" applyFont="1" applyFill="1" applyProtection="1"/>
    <xf numFmtId="0" fontId="65" fillId="17" borderId="9" xfId="0" applyFont="1" applyFill="1" applyBorder="1" applyProtection="1"/>
    <xf numFmtId="0" fontId="67" fillId="18" borderId="0" xfId="0" applyFont="1" applyFill="1" applyProtection="1"/>
    <xf numFmtId="0" fontId="68" fillId="18" borderId="0" xfId="0" applyFont="1" applyFill="1" applyAlignment="1" applyProtection="1">
      <alignment horizontal="right"/>
    </xf>
    <xf numFmtId="0" fontId="68" fillId="18" borderId="0" xfId="0" applyFont="1" applyFill="1" applyProtection="1"/>
    <xf numFmtId="0" fontId="68" fillId="18" borderId="9" xfId="0" applyFont="1" applyFill="1" applyBorder="1" applyProtection="1"/>
    <xf numFmtId="0" fontId="65" fillId="0" borderId="0" xfId="0" applyFont="1" applyFill="1" applyProtection="1"/>
    <xf numFmtId="0" fontId="65" fillId="0" borderId="0" xfId="0" applyFont="1" applyProtection="1"/>
    <xf numFmtId="0" fontId="2" fillId="0" borderId="9" xfId="0" applyFont="1" applyBorder="1" applyProtection="1"/>
    <xf numFmtId="0" fontId="4" fillId="0" borderId="22" xfId="0" applyFont="1" applyBorder="1" applyProtection="1"/>
    <xf numFmtId="0" fontId="2" fillId="0" borderId="20" xfId="0" applyFont="1" applyBorder="1" applyAlignment="1" applyProtection="1">
      <alignment horizontal="right"/>
    </xf>
    <xf numFmtId="0" fontId="2" fillId="0" borderId="23" xfId="0" applyFont="1" applyBorder="1" applyAlignment="1" applyProtection="1">
      <alignment horizontal="right"/>
    </xf>
    <xf numFmtId="0" fontId="2" fillId="17" borderId="0" xfId="0" applyFont="1" applyFill="1" applyProtection="1"/>
    <xf numFmtId="0" fontId="60" fillId="0" borderId="0" xfId="0" applyFont="1" applyProtection="1"/>
    <xf numFmtId="0" fontId="4" fillId="0" borderId="24" xfId="0" applyFont="1" applyBorder="1" applyProtection="1"/>
    <xf numFmtId="0" fontId="2" fillId="0" borderId="25" xfId="0" applyFont="1" applyBorder="1" applyAlignment="1" applyProtection="1">
      <alignment horizontal="right"/>
    </xf>
    <xf numFmtId="0" fontId="4" fillId="0" borderId="0" xfId="0" applyFont="1" applyAlignment="1" applyProtection="1">
      <alignment horizontal="left"/>
    </xf>
    <xf numFmtId="3" fontId="2" fillId="0" borderId="0" xfId="0" applyNumberFormat="1" applyFont="1" applyProtection="1"/>
    <xf numFmtId="0" fontId="2" fillId="0" borderId="0" xfId="0" applyFont="1" applyAlignment="1" applyProtection="1">
      <alignment horizontal="right"/>
    </xf>
    <xf numFmtId="0" fontId="4" fillId="0" borderId="19" xfId="0" applyFont="1" applyBorder="1" applyProtection="1"/>
    <xf numFmtId="0" fontId="2" fillId="0" borderId="14" xfId="0" applyFont="1" applyBorder="1" applyAlignment="1" applyProtection="1">
      <alignment horizontal="right"/>
    </xf>
    <xf numFmtId="168" fontId="2" fillId="0" borderId="0" xfId="0" applyNumberFormat="1" applyFont="1" applyProtection="1"/>
    <xf numFmtId="2" fontId="2" fillId="0" borderId="0" xfId="0" applyNumberFormat="1" applyFont="1" applyProtection="1"/>
    <xf numFmtId="3" fontId="2" fillId="0" borderId="0" xfId="0" applyNumberFormat="1" applyFont="1" applyBorder="1" applyProtection="1"/>
    <xf numFmtId="0" fontId="2" fillId="17" borderId="9" xfId="0" applyFont="1" applyFill="1" applyBorder="1" applyProtection="1"/>
    <xf numFmtId="0" fontId="4" fillId="0" borderId="0" xfId="0" applyFont="1" applyAlignment="1" applyProtection="1">
      <alignment horizontal="right"/>
    </xf>
    <xf numFmtId="0" fontId="2" fillId="0" borderId="2" xfId="0" applyFont="1" applyBorder="1" applyAlignment="1" applyProtection="1">
      <alignment horizontal="left"/>
    </xf>
    <xf numFmtId="3" fontId="2" fillId="0" borderId="1" xfId="0" applyNumberFormat="1" applyFont="1" applyBorder="1" applyProtection="1"/>
    <xf numFmtId="0" fontId="62" fillId="0" borderId="0" xfId="0" applyFont="1" applyBorder="1" applyAlignment="1" applyProtection="1">
      <alignment horizontal="left"/>
    </xf>
    <xf numFmtId="0" fontId="62" fillId="0" borderId="0" xfId="0" applyFont="1" applyBorder="1" applyProtection="1"/>
    <xf numFmtId="0" fontId="62" fillId="0" borderId="0" xfId="0" applyFont="1" applyBorder="1" applyAlignment="1" applyProtection="1">
      <alignment horizontal="center"/>
    </xf>
    <xf numFmtId="0" fontId="38" fillId="0" borderId="9" xfId="0" applyFont="1" applyBorder="1" applyProtection="1"/>
    <xf numFmtId="1" fontId="2" fillId="0" borderId="9" xfId="0" applyNumberFormat="1" applyFont="1" applyBorder="1" applyProtection="1"/>
    <xf numFmtId="3" fontId="2" fillId="0" borderId="9" xfId="0" applyNumberFormat="1" applyFont="1" applyBorder="1" applyProtection="1"/>
    <xf numFmtId="9" fontId="62" fillId="0" borderId="0" xfId="0" applyNumberFormat="1" applyFont="1" applyBorder="1" applyProtection="1"/>
    <xf numFmtId="0" fontId="62" fillId="0" borderId="0" xfId="0" applyFont="1" applyAlignment="1" applyProtection="1">
      <alignment horizontal="left"/>
    </xf>
    <xf numFmtId="0" fontId="12" fillId="0" borderId="0" xfId="0" applyFont="1" applyAlignment="1" applyProtection="1">
      <alignment horizontal="left"/>
    </xf>
    <xf numFmtId="9" fontId="2" fillId="0" borderId="0" xfId="0" applyNumberFormat="1" applyFont="1" applyProtection="1"/>
    <xf numFmtId="0" fontId="12" fillId="0" borderId="0" xfId="0" applyFont="1" applyFill="1" applyProtection="1"/>
    <xf numFmtId="0" fontId="2" fillId="0" borderId="0" xfId="0" applyFont="1" applyFill="1" applyAlignment="1" applyProtection="1">
      <alignment horizontal="right"/>
    </xf>
    <xf numFmtId="0" fontId="61" fillId="0" borderId="9" xfId="0" applyFont="1" applyFill="1" applyBorder="1" applyProtection="1"/>
    <xf numFmtId="165" fontId="2" fillId="0" borderId="0" xfId="0" applyNumberFormat="1" applyFont="1" applyProtection="1"/>
    <xf numFmtId="0" fontId="42" fillId="0" borderId="9" xfId="0" applyFont="1" applyFill="1" applyBorder="1" applyProtection="1"/>
    <xf numFmtId="164" fontId="2" fillId="0" borderId="0" xfId="0" applyNumberFormat="1" applyFont="1" applyProtection="1"/>
    <xf numFmtId="9" fontId="2" fillId="0" borderId="0" xfId="3" applyFont="1" applyProtection="1"/>
    <xf numFmtId="0" fontId="64" fillId="0" borderId="9" xfId="0" applyFont="1" applyBorder="1" applyProtection="1"/>
    <xf numFmtId="1" fontId="38" fillId="0" borderId="9" xfId="0" applyNumberFormat="1" applyFont="1" applyBorder="1" applyProtection="1"/>
    <xf numFmtId="9" fontId="2" fillId="0" borderId="0" xfId="0" applyNumberFormat="1" applyFont="1" applyFill="1" applyProtection="1"/>
    <xf numFmtId="0" fontId="38" fillId="0" borderId="0" xfId="0" applyFont="1" applyAlignment="1" applyProtection="1">
      <alignment horizontal="right"/>
    </xf>
    <xf numFmtId="3" fontId="38" fillId="0" borderId="0" xfId="0" applyNumberFormat="1" applyFont="1" applyProtection="1"/>
    <xf numFmtId="0" fontId="38" fillId="0" borderId="0" xfId="0" applyFont="1" applyProtection="1"/>
    <xf numFmtId="3" fontId="2" fillId="0" borderId="0" xfId="0" applyNumberFormat="1" applyFont="1" applyFill="1" applyBorder="1" applyProtection="1"/>
    <xf numFmtId="0" fontId="4" fillId="0" borderId="0" xfId="0" applyFont="1" applyFill="1" applyBorder="1" applyProtection="1"/>
    <xf numFmtId="0" fontId="2" fillId="0" borderId="2" xfId="0" applyFont="1" applyFill="1" applyBorder="1" applyAlignment="1" applyProtection="1">
      <alignment horizontal="right"/>
    </xf>
    <xf numFmtId="0" fontId="2" fillId="0" borderId="2" xfId="0" applyFont="1" applyFill="1" applyBorder="1" applyAlignment="1" applyProtection="1">
      <alignment horizontal="left"/>
    </xf>
    <xf numFmtId="2" fontId="2" fillId="0" borderId="2" xfId="0" applyNumberFormat="1" applyFont="1" applyFill="1" applyBorder="1" applyProtection="1"/>
    <xf numFmtId="0" fontId="2" fillId="0" borderId="15" xfId="0" applyFont="1" applyFill="1" applyBorder="1" applyAlignment="1" applyProtection="1">
      <alignment horizontal="right"/>
    </xf>
    <xf numFmtId="9" fontId="2" fillId="0" borderId="2" xfId="0" applyNumberFormat="1" applyFont="1" applyBorder="1" applyProtection="1"/>
    <xf numFmtId="164" fontId="2" fillId="0" borderId="2" xfId="0" applyNumberFormat="1" applyFont="1" applyBorder="1" applyAlignment="1" applyProtection="1">
      <alignment horizontal="left"/>
    </xf>
    <xf numFmtId="165" fontId="9" fillId="0" borderId="0" xfId="0" applyNumberFormat="1" applyFont="1" applyFill="1" applyProtection="1"/>
    <xf numFmtId="164" fontId="2" fillId="0" borderId="2" xfId="0" applyNumberFormat="1" applyFont="1" applyBorder="1" applyAlignment="1" applyProtection="1">
      <alignment horizontal="right"/>
    </xf>
    <xf numFmtId="1" fontId="2" fillId="0" borderId="0" xfId="0" applyNumberFormat="1" applyFont="1" applyProtection="1"/>
    <xf numFmtId="0" fontId="2" fillId="0" borderId="21" xfId="0" applyFont="1" applyBorder="1" applyProtection="1"/>
    <xf numFmtId="0" fontId="2" fillId="0" borderId="5" xfId="0" applyFont="1" applyBorder="1" applyProtection="1"/>
    <xf numFmtId="9" fontId="2" fillId="0" borderId="2" xfId="3" applyFont="1" applyBorder="1" applyProtection="1"/>
    <xf numFmtId="9" fontId="2" fillId="0" borderId="0" xfId="0" applyNumberFormat="1" applyFont="1" applyBorder="1" applyProtection="1"/>
    <xf numFmtId="0" fontId="2" fillId="0" borderId="1" xfId="0" applyFont="1" applyFill="1" applyBorder="1" applyProtection="1"/>
    <xf numFmtId="164" fontId="2" fillId="0" borderId="0" xfId="0" applyNumberFormat="1" applyFont="1" applyBorder="1" applyProtection="1"/>
    <xf numFmtId="164" fontId="2" fillId="0" borderId="2" xfId="0" applyNumberFormat="1" applyFont="1" applyFill="1" applyBorder="1" applyAlignment="1" applyProtection="1"/>
    <xf numFmtId="164" fontId="2" fillId="0" borderId="21" xfId="0" applyNumberFormat="1" applyFont="1" applyFill="1" applyBorder="1" applyAlignment="1" applyProtection="1"/>
    <xf numFmtId="0" fontId="63" fillId="0" borderId="20" xfId="0" applyFont="1" applyBorder="1" applyProtection="1"/>
    <xf numFmtId="1" fontId="2" fillId="0" borderId="0" xfId="0" applyNumberFormat="1" applyFont="1" applyBorder="1" applyProtection="1"/>
    <xf numFmtId="9" fontId="2" fillId="0" borderId="25" xfId="3" applyFont="1" applyBorder="1" applyProtection="1"/>
    <xf numFmtId="164" fontId="2" fillId="0" borderId="21" xfId="0" applyNumberFormat="1" applyFont="1" applyBorder="1" applyProtection="1"/>
    <xf numFmtId="0" fontId="2" fillId="0" borderId="9" xfId="0" applyFont="1" applyFill="1" applyBorder="1" applyProtection="1"/>
    <xf numFmtId="164" fontId="2" fillId="0" borderId="15" xfId="0" applyNumberFormat="1" applyFont="1" applyFill="1" applyBorder="1" applyAlignment="1" applyProtection="1"/>
    <xf numFmtId="0" fontId="36" fillId="0" borderId="0" xfId="4" applyFont="1" applyFill="1" applyBorder="1" applyProtection="1"/>
    <xf numFmtId="0" fontId="2" fillId="0" borderId="21" xfId="0" applyFont="1" applyFill="1" applyBorder="1" applyProtection="1"/>
    <xf numFmtId="0" fontId="56" fillId="0" borderId="0" xfId="0" applyFont="1" applyProtection="1"/>
    <xf numFmtId="0" fontId="36" fillId="0" borderId="0" xfId="4" applyFont="1" applyProtection="1"/>
    <xf numFmtId="0" fontId="36" fillId="9" borderId="0" xfId="4" applyFont="1" applyFill="1" applyProtection="1"/>
    <xf numFmtId="0" fontId="57" fillId="9" borderId="1" xfId="0" applyFont="1" applyFill="1" applyBorder="1" applyProtection="1"/>
    <xf numFmtId="0" fontId="36" fillId="9" borderId="0" xfId="0" applyFont="1" applyFill="1" applyProtection="1"/>
    <xf numFmtId="0" fontId="53" fillId="9" borderId="0" xfId="5" applyFont="1" applyFill="1" applyAlignment="1" applyProtection="1">
      <alignment horizontal="left"/>
    </xf>
    <xf numFmtId="0" fontId="36" fillId="0" borderId="0" xfId="4" applyFont="1" applyFill="1" applyProtection="1"/>
    <xf numFmtId="0" fontId="52" fillId="0" borderId="0" xfId="4" applyFont="1" applyBorder="1" applyProtection="1"/>
    <xf numFmtId="0" fontId="51" fillId="0" borderId="0" xfId="4" applyFont="1" applyProtection="1"/>
    <xf numFmtId="0" fontId="52" fillId="0" borderId="1" xfId="4" applyFont="1" applyBorder="1" applyProtection="1"/>
    <xf numFmtId="0" fontId="52" fillId="15" borderId="0" xfId="4" applyFont="1" applyFill="1" applyProtection="1"/>
    <xf numFmtId="0" fontId="36" fillId="15" borderId="0" xfId="4" applyFont="1" applyFill="1" applyProtection="1"/>
    <xf numFmtId="0" fontId="52" fillId="0" borderId="0" xfId="4" applyFont="1" applyProtection="1"/>
    <xf numFmtId="0" fontId="36" fillId="11" borderId="21" xfId="4" applyFont="1" applyFill="1" applyBorder="1" applyProtection="1"/>
    <xf numFmtId="0" fontId="36" fillId="11" borderId="2" xfId="4" applyFont="1" applyFill="1" applyBorder="1" applyProtection="1"/>
    <xf numFmtId="0" fontId="36" fillId="0" borderId="21" xfId="4" applyFont="1" applyBorder="1" applyAlignment="1" applyProtection="1">
      <alignment horizontal="right"/>
    </xf>
    <xf numFmtId="0" fontId="36" fillId="0" borderId="2" xfId="4" applyFont="1" applyBorder="1" applyProtection="1"/>
    <xf numFmtId="0" fontId="2" fillId="0" borderId="21" xfId="4" applyFont="1" applyBorder="1" applyAlignment="1" applyProtection="1">
      <alignment horizontal="right"/>
    </xf>
    <xf numFmtId="0" fontId="38" fillId="0" borderId="2" xfId="4" applyFont="1" applyBorder="1" applyProtection="1"/>
    <xf numFmtId="0" fontId="2" fillId="0" borderId="2" xfId="4" applyFont="1" applyBorder="1" applyProtection="1"/>
    <xf numFmtId="0" fontId="36" fillId="0" borderId="0" xfId="4" applyFont="1" applyBorder="1" applyAlignment="1" applyProtection="1">
      <alignment horizontal="right"/>
    </xf>
    <xf numFmtId="0" fontId="36" fillId="0" borderId="0" xfId="4" applyFont="1" applyBorder="1" applyProtection="1"/>
    <xf numFmtId="0" fontId="36" fillId="0" borderId="11" xfId="4" applyFont="1" applyBorder="1" applyProtection="1"/>
    <xf numFmtId="0" fontId="36" fillId="0" borderId="11" xfId="4" applyFont="1" applyBorder="1" applyAlignment="1" applyProtection="1">
      <alignment horizontal="right"/>
    </xf>
    <xf numFmtId="0" fontId="2" fillId="0" borderId="0" xfId="0" applyNumberFormat="1" applyFont="1" applyProtection="1"/>
    <xf numFmtId="0" fontId="4" fillId="15" borderId="0" xfId="0" applyFont="1" applyFill="1" applyProtection="1"/>
    <xf numFmtId="0" fontId="2" fillId="11" borderId="6" xfId="0" applyFont="1" applyFill="1" applyBorder="1" applyAlignment="1" applyProtection="1">
      <alignment horizontal="left"/>
    </xf>
    <xf numFmtId="0" fontId="2" fillId="11" borderId="2" xfId="0" applyFont="1" applyFill="1" applyBorder="1" applyProtection="1"/>
    <xf numFmtId="0" fontId="36" fillId="11" borderId="2" xfId="0" applyFont="1" applyFill="1" applyBorder="1" applyProtection="1"/>
    <xf numFmtId="0" fontId="44" fillId="11" borderId="2" xfId="0" applyFont="1" applyFill="1" applyBorder="1" applyProtection="1"/>
    <xf numFmtId="3" fontId="2" fillId="0" borderId="2" xfId="0" applyNumberFormat="1" applyFont="1" applyFill="1" applyBorder="1" applyProtection="1"/>
    <xf numFmtId="3" fontId="44" fillId="0" borderId="2" xfId="0" applyNumberFormat="1" applyFont="1" applyFill="1" applyBorder="1" applyProtection="1"/>
    <xf numFmtId="167" fontId="2" fillId="0" borderId="2" xfId="0" applyNumberFormat="1" applyFont="1" applyFill="1" applyBorder="1" applyProtection="1"/>
    <xf numFmtId="167" fontId="44" fillId="0" borderId="2" xfId="0" applyNumberFormat="1" applyFont="1" applyFill="1" applyBorder="1" applyProtection="1"/>
    <xf numFmtId="164" fontId="2" fillId="0" borderId="6" xfId="0" applyNumberFormat="1" applyFont="1" applyFill="1" applyBorder="1" applyProtection="1"/>
    <xf numFmtId="4" fontId="44" fillId="0" borderId="2" xfId="0" applyNumberFormat="1" applyFont="1" applyFill="1" applyBorder="1" applyProtection="1"/>
    <xf numFmtId="0" fontId="36" fillId="10" borderId="20" xfId="4" applyFont="1" applyFill="1" applyBorder="1" applyProtection="1"/>
    <xf numFmtId="0" fontId="36" fillId="0" borderId="21" xfId="4" applyFont="1" applyFill="1" applyBorder="1" applyProtection="1"/>
    <xf numFmtId="0" fontId="36" fillId="0" borderId="5" xfId="4" applyFont="1" applyFill="1" applyBorder="1" applyProtection="1"/>
    <xf numFmtId="0" fontId="36" fillId="0" borderId="5" xfId="4" applyFont="1" applyFill="1" applyBorder="1" applyAlignment="1" applyProtection="1">
      <alignment horizontal="left"/>
    </xf>
    <xf numFmtId="1" fontId="52" fillId="15" borderId="5" xfId="4" applyNumberFormat="1" applyFont="1" applyFill="1" applyBorder="1" applyProtection="1"/>
    <xf numFmtId="0" fontId="36" fillId="0" borderId="11" xfId="4" applyFont="1" applyFill="1" applyBorder="1" applyProtection="1"/>
    <xf numFmtId="0" fontId="36" fillId="11" borderId="2" xfId="4" applyFont="1" applyFill="1" applyBorder="1" applyAlignment="1" applyProtection="1">
      <alignment wrapText="1"/>
    </xf>
    <xf numFmtId="0" fontId="36" fillId="0" borderId="2" xfId="4" applyFont="1" applyFill="1" applyBorder="1" applyAlignment="1" applyProtection="1">
      <alignment horizontal="right"/>
    </xf>
    <xf numFmtId="0" fontId="36" fillId="0" borderId="2" xfId="4" applyFont="1" applyFill="1" applyBorder="1" applyProtection="1"/>
    <xf numFmtId="1" fontId="36" fillId="0" borderId="0" xfId="4" applyNumberFormat="1" applyFont="1" applyFill="1" applyProtection="1"/>
    <xf numFmtId="0" fontId="36" fillId="0" borderId="2" xfId="4" applyFont="1" applyBorder="1" applyAlignment="1" applyProtection="1">
      <alignment vertical="top" wrapText="1"/>
    </xf>
    <xf numFmtId="0" fontId="2" fillId="0" borderId="2" xfId="4" applyFont="1" applyFill="1" applyBorder="1" applyAlignment="1" applyProtection="1">
      <alignment vertical="center" wrapText="1"/>
    </xf>
    <xf numFmtId="0" fontId="36" fillId="0" borderId="2" xfId="4" applyFont="1" applyBorder="1" applyAlignment="1" applyProtection="1">
      <alignment vertical="center" wrapText="1"/>
    </xf>
    <xf numFmtId="0" fontId="52" fillId="11" borderId="2" xfId="4" applyFont="1" applyFill="1" applyBorder="1" applyAlignment="1" applyProtection="1">
      <alignment horizontal="right"/>
    </xf>
    <xf numFmtId="0" fontId="2" fillId="0" borderId="2" xfId="4" applyFont="1" applyFill="1" applyBorder="1" applyAlignment="1" applyProtection="1">
      <alignment wrapText="1"/>
    </xf>
    <xf numFmtId="0" fontId="36" fillId="0" borderId="2" xfId="4" applyFont="1" applyBorder="1" applyAlignment="1" applyProtection="1">
      <alignment wrapText="1"/>
    </xf>
    <xf numFmtId="0" fontId="36" fillId="15" borderId="2" xfId="4" applyFont="1" applyFill="1" applyBorder="1" applyProtection="1"/>
    <xf numFmtId="2" fontId="36" fillId="15" borderId="2" xfId="4" applyNumberFormat="1" applyFont="1" applyFill="1" applyBorder="1" applyProtection="1"/>
    <xf numFmtId="0" fontId="2" fillId="0" borderId="2" xfId="4" applyFont="1" applyFill="1" applyBorder="1" applyProtection="1"/>
    <xf numFmtId="164" fontId="36" fillId="15" borderId="2" xfId="4" applyNumberFormat="1" applyFont="1" applyFill="1" applyBorder="1" applyProtection="1"/>
    <xf numFmtId="1" fontId="54" fillId="15" borderId="2" xfId="4" applyNumberFormat="1" applyFont="1" applyFill="1" applyBorder="1" applyProtection="1"/>
    <xf numFmtId="0" fontId="54" fillId="0" borderId="0" xfId="4" applyFont="1" applyBorder="1" applyProtection="1"/>
    <xf numFmtId="0" fontId="36" fillId="0" borderId="0" xfId="4" applyFont="1" applyBorder="1" applyAlignment="1" applyProtection="1">
      <alignment horizontal="left" indent="1"/>
    </xf>
    <xf numFmtId="0" fontId="36" fillId="0" borderId="0" xfId="4" applyFont="1" applyFill="1" applyBorder="1" applyAlignment="1" applyProtection="1">
      <alignment horizontal="left"/>
    </xf>
    <xf numFmtId="0" fontId="52" fillId="0" borderId="0" xfId="4" applyFont="1" applyFill="1" applyBorder="1" applyProtection="1"/>
    <xf numFmtId="0" fontId="52" fillId="15" borderId="2" xfId="4" applyFont="1" applyFill="1" applyBorder="1" applyProtection="1"/>
    <xf numFmtId="0" fontId="38" fillId="0" borderId="2" xfId="4" applyFont="1" applyBorder="1" applyAlignment="1" applyProtection="1"/>
    <xf numFmtId="0" fontId="52" fillId="15" borderId="2" xfId="4" applyFont="1" applyFill="1" applyBorder="1" applyAlignment="1" applyProtection="1"/>
    <xf numFmtId="0" fontId="36" fillId="0" borderId="2" xfId="4" applyFont="1" applyBorder="1" applyAlignment="1" applyProtection="1"/>
    <xf numFmtId="0" fontId="36" fillId="15" borderId="2" xfId="4" applyFont="1" applyFill="1" applyBorder="1" applyAlignment="1" applyProtection="1">
      <alignment wrapText="1"/>
    </xf>
    <xf numFmtId="9" fontId="2" fillId="10" borderId="2" xfId="6" applyFont="1" applyFill="1" applyBorder="1" applyProtection="1"/>
    <xf numFmtId="9" fontId="2" fillId="0" borderId="2" xfId="6" applyFont="1" applyBorder="1" applyProtection="1"/>
    <xf numFmtId="9" fontId="2" fillId="0" borderId="2" xfId="6" quotePrefix="1" applyFont="1" applyBorder="1" applyAlignment="1" applyProtection="1">
      <alignment horizontal="right"/>
    </xf>
    <xf numFmtId="9" fontId="2" fillId="10" borderId="2" xfId="6" applyFont="1" applyFill="1" applyBorder="1" applyAlignment="1" applyProtection="1">
      <alignment horizontal="right"/>
    </xf>
    <xf numFmtId="9" fontId="36" fillId="15" borderId="2" xfId="4" applyNumberFormat="1" applyFont="1" applyFill="1" applyBorder="1" applyProtection="1"/>
    <xf numFmtId="9" fontId="2" fillId="0" borderId="2" xfId="6" applyFont="1" applyBorder="1" applyAlignment="1" applyProtection="1">
      <alignment horizontal="right"/>
    </xf>
    <xf numFmtId="9" fontId="2" fillId="0" borderId="2" xfId="6" quotePrefix="1" applyFont="1" applyBorder="1" applyAlignment="1" applyProtection="1"/>
    <xf numFmtId="9" fontId="2" fillId="0" borderId="2" xfId="6" quotePrefix="1" applyFont="1" applyBorder="1" applyProtection="1"/>
    <xf numFmtId="0" fontId="32" fillId="0" borderId="0" xfId="4" applyFont="1" applyFill="1" applyBorder="1" applyProtection="1"/>
    <xf numFmtId="0" fontId="36" fillId="11" borderId="2" xfId="4" applyFont="1" applyFill="1" applyBorder="1" applyAlignment="1" applyProtection="1">
      <alignment horizontal="left" wrapText="1"/>
    </xf>
    <xf numFmtId="9" fontId="36" fillId="11" borderId="2" xfId="6" applyFont="1" applyFill="1" applyBorder="1" applyAlignment="1" applyProtection="1">
      <alignment horizontal="left" wrapText="1"/>
    </xf>
    <xf numFmtId="0" fontId="36" fillId="0" borderId="0" xfId="4" applyFont="1" applyBorder="1" applyAlignment="1" applyProtection="1">
      <alignment horizontal="left" wrapText="1"/>
    </xf>
    <xf numFmtId="0" fontId="37" fillId="0" borderId="0" xfId="4" applyFont="1" applyAlignment="1" applyProtection="1"/>
    <xf numFmtId="0" fontId="2" fillId="0" borderId="0" xfId="4" applyFont="1" applyBorder="1" applyAlignment="1" applyProtection="1">
      <alignment horizontal="left"/>
    </xf>
    <xf numFmtId="9" fontId="2" fillId="0" borderId="0" xfId="6" applyFont="1" applyBorder="1" applyAlignment="1" applyProtection="1">
      <alignment horizontal="left" wrapText="1"/>
    </xf>
    <xf numFmtId="0" fontId="36" fillId="0" borderId="0" xfId="4" applyFont="1" applyAlignment="1" applyProtection="1">
      <alignment wrapText="1"/>
    </xf>
    <xf numFmtId="9" fontId="36" fillId="0" borderId="2" xfId="3" applyFont="1" applyBorder="1" applyAlignment="1" applyProtection="1">
      <alignment horizontal="left"/>
    </xf>
    <xf numFmtId="9" fontId="38" fillId="0" borderId="2" xfId="3" applyFont="1" applyBorder="1" applyAlignment="1" applyProtection="1">
      <alignment horizontal="left" wrapText="1"/>
    </xf>
    <xf numFmtId="0" fontId="38" fillId="0" borderId="2" xfId="0" applyFont="1" applyBorder="1" applyProtection="1"/>
    <xf numFmtId="0" fontId="52" fillId="0" borderId="0" xfId="0" applyFont="1" applyProtection="1"/>
    <xf numFmtId="0" fontId="55" fillId="0" borderId="0" xfId="4" applyFont="1" applyProtection="1"/>
    <xf numFmtId="0" fontId="52" fillId="0" borderId="0" xfId="0" applyFont="1" applyFill="1" applyBorder="1" applyProtection="1"/>
    <xf numFmtId="0" fontId="36" fillId="11" borderId="27" xfId="4" applyFont="1" applyFill="1" applyBorder="1" applyAlignment="1" applyProtection="1">
      <alignment wrapText="1"/>
    </xf>
    <xf numFmtId="0" fontId="4" fillId="11" borderId="15" xfId="0" applyFont="1" applyFill="1" applyBorder="1" applyAlignment="1" applyProtection="1">
      <alignment horizontal="left" wrapText="1"/>
    </xf>
    <xf numFmtId="0" fontId="2" fillId="13" borderId="2" xfId="0" applyFont="1" applyFill="1" applyBorder="1" applyAlignment="1" applyProtection="1">
      <alignment horizontal="left" wrapText="1"/>
    </xf>
    <xf numFmtId="0" fontId="4" fillId="11" borderId="2" xfId="0" applyFont="1" applyFill="1" applyBorder="1" applyAlignment="1" applyProtection="1">
      <alignment horizontal="left" wrapText="1"/>
    </xf>
    <xf numFmtId="0" fontId="2" fillId="11" borderId="2" xfId="0" applyFont="1" applyFill="1" applyBorder="1" applyAlignment="1" applyProtection="1">
      <alignment wrapText="1"/>
    </xf>
    <xf numFmtId="0" fontId="2" fillId="11" borderId="2" xfId="0" applyFont="1" applyFill="1" applyBorder="1" applyAlignment="1" applyProtection="1">
      <alignment vertical="top" wrapText="1"/>
    </xf>
    <xf numFmtId="0" fontId="4" fillId="11" borderId="2" xfId="0" applyFont="1" applyFill="1" applyBorder="1" applyAlignment="1" applyProtection="1">
      <alignment wrapText="1"/>
    </xf>
    <xf numFmtId="1" fontId="2" fillId="0" borderId="28" xfId="0" applyNumberFormat="1" applyFont="1" applyFill="1" applyBorder="1" applyAlignment="1" applyProtection="1">
      <alignment horizontal="right"/>
    </xf>
    <xf numFmtId="0" fontId="32" fillId="0" borderId="2" xfId="0" applyFont="1" applyFill="1" applyBorder="1" applyProtection="1"/>
    <xf numFmtId="166" fontId="32" fillId="0" borderId="2" xfId="0" applyNumberFormat="1" applyFont="1" applyFill="1" applyBorder="1" applyProtection="1"/>
    <xf numFmtId="0" fontId="39" fillId="0" borderId="2" xfId="0" applyFont="1" applyBorder="1" applyProtection="1"/>
    <xf numFmtId="166" fontId="2" fillId="0" borderId="2" xfId="6" applyNumberFormat="1" applyFont="1" applyBorder="1" applyProtection="1"/>
    <xf numFmtId="166" fontId="32" fillId="0" borderId="2" xfId="6" applyNumberFormat="1" applyFont="1" applyBorder="1" applyProtection="1"/>
    <xf numFmtId="166" fontId="32" fillId="0" borderId="2" xfId="0" applyNumberFormat="1" applyFont="1" applyBorder="1" applyProtection="1"/>
    <xf numFmtId="0" fontId="32" fillId="0" borderId="21" xfId="0" applyFont="1" applyFill="1" applyBorder="1" applyProtection="1"/>
    <xf numFmtId="166" fontId="36" fillId="0" borderId="0" xfId="4" applyNumberFormat="1" applyFont="1" applyProtection="1"/>
    <xf numFmtId="0" fontId="32" fillId="0" borderId="2" xfId="0" applyFont="1" applyBorder="1" applyProtection="1"/>
    <xf numFmtId="0" fontId="32" fillId="0" borderId="21" xfId="0" applyNumberFormat="1" applyFont="1" applyFill="1" applyBorder="1" applyProtection="1"/>
    <xf numFmtId="166" fontId="2" fillId="0" borderId="0" xfId="0" applyNumberFormat="1" applyFont="1" applyProtection="1"/>
    <xf numFmtId="166" fontId="32" fillId="0" borderId="0" xfId="0" applyNumberFormat="1" applyFont="1" applyProtection="1"/>
    <xf numFmtId="0" fontId="32" fillId="0" borderId="0" xfId="4" applyFont="1" applyProtection="1"/>
    <xf numFmtId="0" fontId="32" fillId="0" borderId="0" xfId="0" applyFont="1" applyFill="1" applyProtection="1"/>
    <xf numFmtId="0" fontId="36" fillId="14" borderId="2" xfId="0" applyFont="1" applyFill="1" applyBorder="1" applyAlignment="1" applyProtection="1">
      <alignment horizontal="right"/>
    </xf>
    <xf numFmtId="0" fontId="36" fillId="0" borderId="2" xfId="0" applyFont="1" applyFill="1" applyBorder="1" applyProtection="1"/>
    <xf numFmtId="9" fontId="36" fillId="14" borderId="2" xfId="6" applyFont="1" applyFill="1" applyBorder="1" applyProtection="1"/>
    <xf numFmtId="0" fontId="36" fillId="12" borderId="2" xfId="0" applyFont="1" applyFill="1" applyBorder="1" applyAlignment="1" applyProtection="1">
      <alignment horizontal="right"/>
    </xf>
    <xf numFmtId="9" fontId="36" fillId="12" borderId="2" xfId="6" applyFont="1" applyFill="1" applyBorder="1" applyProtection="1"/>
    <xf numFmtId="0" fontId="36" fillId="12" borderId="2" xfId="0" applyFont="1" applyFill="1" applyBorder="1" applyProtection="1"/>
    <xf numFmtId="166" fontId="36" fillId="12" borderId="2" xfId="6" applyNumberFormat="1" applyFont="1" applyFill="1" applyBorder="1" applyProtection="1"/>
    <xf numFmtId="0" fontId="2" fillId="12" borderId="2" xfId="0" applyFont="1" applyFill="1" applyBorder="1" applyAlignment="1" applyProtection="1">
      <alignment horizontal="right"/>
    </xf>
    <xf numFmtId="0" fontId="2" fillId="12" borderId="2" xfId="0" applyFont="1" applyFill="1" applyBorder="1" applyProtection="1"/>
    <xf numFmtId="166" fontId="36" fillId="0" borderId="2" xfId="6" applyNumberFormat="1" applyFont="1" applyFill="1" applyBorder="1" applyProtection="1"/>
    <xf numFmtId="0" fontId="36" fillId="12" borderId="15" xfId="0" applyFont="1" applyFill="1" applyBorder="1" applyAlignment="1" applyProtection="1">
      <alignment horizontal="right"/>
    </xf>
    <xf numFmtId="0" fontId="36" fillId="0" borderId="15" xfId="0" applyFont="1" applyFill="1" applyBorder="1" applyProtection="1"/>
    <xf numFmtId="9" fontId="36" fillId="12" borderId="15" xfId="6" applyFont="1" applyFill="1" applyBorder="1" applyProtection="1"/>
    <xf numFmtId="0" fontId="36" fillId="12" borderId="15" xfId="0" applyFont="1" applyFill="1" applyBorder="1" applyProtection="1"/>
    <xf numFmtId="166" fontId="36" fillId="12" borderId="15" xfId="6" applyNumberFormat="1" applyFont="1" applyFill="1" applyBorder="1" applyProtection="1"/>
    <xf numFmtId="0" fontId="32" fillId="0" borderId="20" xfId="0" applyFont="1" applyFill="1" applyBorder="1" applyProtection="1"/>
    <xf numFmtId="0" fontId="2" fillId="0" borderId="20" xfId="0" applyFont="1" applyBorder="1" applyProtection="1"/>
    <xf numFmtId="166" fontId="37" fillId="0" borderId="20" xfId="6" applyNumberFormat="1" applyFont="1" applyFill="1" applyBorder="1" applyProtection="1"/>
    <xf numFmtId="166" fontId="37" fillId="0" borderId="0" xfId="6" applyNumberFormat="1" applyFont="1" applyFill="1" applyBorder="1" applyProtection="1"/>
    <xf numFmtId="0" fontId="39" fillId="0" borderId="2" xfId="0" applyFont="1" applyBorder="1" applyAlignment="1" applyProtection="1">
      <alignment horizontal="right"/>
    </xf>
    <xf numFmtId="0" fontId="2" fillId="0" borderId="11" xfId="0" applyFont="1" applyBorder="1" applyProtection="1"/>
    <xf numFmtId="0" fontId="59" fillId="9" borderId="0" xfId="0" applyFont="1" applyFill="1" applyProtection="1"/>
    <xf numFmtId="0" fontId="52" fillId="11" borderId="2" xfId="4" applyFont="1" applyFill="1" applyBorder="1" applyProtection="1"/>
    <xf numFmtId="0" fontId="0" fillId="4" borderId="0" xfId="0" applyFill="1" applyProtection="1"/>
    <xf numFmtId="3" fontId="0" fillId="3" borderId="0" xfId="0" applyNumberFormat="1" applyFill="1" applyBorder="1" applyProtection="1"/>
    <xf numFmtId="1" fontId="0" fillId="3" borderId="2" xfId="0" applyNumberFormat="1" applyFill="1" applyBorder="1" applyProtection="1"/>
    <xf numFmtId="1" fontId="0" fillId="3" borderId="0" xfId="0" applyNumberFormat="1" applyFill="1" applyBorder="1" applyProtection="1"/>
    <xf numFmtId="9" fontId="0" fillId="3" borderId="0" xfId="0" applyNumberFormat="1" applyFill="1" applyProtection="1"/>
    <xf numFmtId="0" fontId="4" fillId="4" borderId="0" xfId="0" applyFont="1" applyFill="1" applyProtection="1"/>
    <xf numFmtId="0" fontId="0" fillId="3" borderId="5" xfId="0" applyFill="1" applyBorder="1" applyProtection="1"/>
    <xf numFmtId="0" fontId="10" fillId="3" borderId="5" xfId="0" applyFont="1" applyFill="1" applyBorder="1" applyProtection="1"/>
    <xf numFmtId="3" fontId="4" fillId="3" borderId="0" xfId="0" applyNumberFormat="1" applyFont="1" applyFill="1" applyAlignment="1" applyProtection="1">
      <alignment horizontal="right"/>
    </xf>
    <xf numFmtId="0" fontId="0" fillId="3" borderId="18" xfId="0" applyFill="1" applyBorder="1" applyProtection="1"/>
    <xf numFmtId="0" fontId="32" fillId="4" borderId="0" xfId="0" applyFont="1" applyFill="1" applyProtection="1"/>
    <xf numFmtId="3" fontId="4" fillId="21" borderId="3" xfId="0" applyNumberFormat="1" applyFont="1" applyFill="1" applyBorder="1" applyProtection="1"/>
    <xf numFmtId="3" fontId="0" fillId="21" borderId="2" xfId="0" applyNumberFormat="1" applyFill="1" applyBorder="1" applyProtection="1"/>
    <xf numFmtId="0" fontId="14" fillId="3" borderId="0" xfId="0" applyFont="1" applyFill="1" applyProtection="1"/>
    <xf numFmtId="0" fontId="4" fillId="3" borderId="0" xfId="0" applyFont="1" applyFill="1" applyBorder="1" applyProtection="1"/>
    <xf numFmtId="0" fontId="17" fillId="3" borderId="0" xfId="0" applyFont="1" applyFill="1" applyBorder="1" applyProtection="1"/>
    <xf numFmtId="0" fontId="2" fillId="17" borderId="0" xfId="0" applyFont="1" applyFill="1" applyBorder="1" applyAlignment="1" applyProtection="1">
      <alignment wrapText="1"/>
    </xf>
    <xf numFmtId="0" fontId="39" fillId="17" borderId="0" xfId="0" applyFont="1" applyFill="1" applyBorder="1" applyAlignment="1" applyProtection="1">
      <alignment wrapText="1"/>
    </xf>
    <xf numFmtId="0" fontId="39" fillId="17" borderId="25" xfId="0" applyFont="1" applyFill="1" applyBorder="1" applyAlignment="1" applyProtection="1">
      <alignment wrapText="1"/>
    </xf>
    <xf numFmtId="0" fontId="2" fillId="17" borderId="25" xfId="0" applyFont="1" applyFill="1" applyBorder="1" applyAlignment="1" applyProtection="1">
      <alignment wrapText="1"/>
    </xf>
    <xf numFmtId="0" fontId="2" fillId="0" borderId="2" xfId="0" applyFont="1" applyBorder="1" applyAlignment="1" applyProtection="1">
      <alignment horizontal="center"/>
    </xf>
    <xf numFmtId="0" fontId="36" fillId="11" borderId="2" xfId="4" applyFont="1" applyFill="1" applyBorder="1" applyAlignment="1" applyProtection="1">
      <alignment horizontal="left"/>
    </xf>
    <xf numFmtId="0" fontId="73" fillId="3" borderId="0" xfId="0" applyFont="1" applyFill="1" applyAlignment="1" applyProtection="1"/>
    <xf numFmtId="0" fontId="0" fillId="3" borderId="0" xfId="0" applyFill="1" applyBorder="1" applyAlignment="1" applyProtection="1"/>
    <xf numFmtId="0" fontId="27" fillId="3" borderId="0" xfId="0" applyFont="1" applyFill="1" applyBorder="1" applyAlignment="1" applyProtection="1"/>
    <xf numFmtId="0" fontId="27" fillId="9" borderId="0" xfId="0" applyFont="1" applyFill="1" applyBorder="1" applyAlignment="1" applyProtection="1"/>
    <xf numFmtId="0" fontId="42" fillId="9" borderId="0" xfId="0" applyFont="1" applyFill="1" applyBorder="1" applyAlignment="1" applyProtection="1"/>
    <xf numFmtId="0" fontId="73" fillId="3" borderId="0" xfId="0" applyFont="1" applyFill="1" applyBorder="1" applyAlignment="1" applyProtection="1"/>
    <xf numFmtId="0" fontId="73" fillId="3" borderId="0" xfId="0" applyFont="1" applyFill="1" applyBorder="1" applyAlignment="1" applyProtection="1">
      <alignment horizontal="left"/>
    </xf>
    <xf numFmtId="0" fontId="75" fillId="9" borderId="0" xfId="0" applyFont="1" applyFill="1"/>
    <xf numFmtId="1" fontId="2" fillId="9" borderId="0" xfId="0" applyNumberFormat="1" applyFont="1" applyFill="1" applyBorder="1"/>
    <xf numFmtId="9" fontId="2" fillId="9" borderId="0" xfId="3" applyFont="1" applyFill="1" applyBorder="1"/>
    <xf numFmtId="0" fontId="2" fillId="9" borderId="0" xfId="0" applyFont="1" applyFill="1" applyBorder="1"/>
    <xf numFmtId="0" fontId="4" fillId="9" borderId="0" xfId="0" applyFont="1" applyFill="1" applyBorder="1"/>
    <xf numFmtId="9" fontId="2" fillId="9" borderId="0" xfId="0" applyNumberFormat="1" applyFont="1" applyFill="1" applyBorder="1"/>
    <xf numFmtId="3" fontId="2" fillId="9" borderId="0" xfId="0" applyNumberFormat="1" applyFont="1" applyFill="1" applyBorder="1"/>
    <xf numFmtId="0" fontId="4" fillId="9" borderId="2" xfId="0" applyFont="1" applyFill="1" applyBorder="1" applyProtection="1"/>
    <xf numFmtId="0" fontId="0" fillId="9" borderId="2" xfId="0" applyFill="1" applyBorder="1" applyProtection="1"/>
    <xf numFmtId="0" fontId="6" fillId="9" borderId="2" xfId="0" applyFont="1" applyFill="1" applyBorder="1" applyAlignment="1" applyProtection="1">
      <alignment horizontal="right"/>
    </xf>
    <xf numFmtId="0" fontId="4" fillId="9" borderId="2" xfId="0" applyFont="1" applyFill="1" applyBorder="1" applyAlignment="1" applyProtection="1">
      <alignment horizontal="left"/>
    </xf>
    <xf numFmtId="0" fontId="0" fillId="9" borderId="2" xfId="0" applyFill="1" applyBorder="1" applyAlignment="1" applyProtection="1">
      <alignment horizontal="right"/>
    </xf>
    <xf numFmtId="0" fontId="6" fillId="9" borderId="15" xfId="0" applyFont="1" applyFill="1" applyBorder="1" applyAlignment="1" applyProtection="1">
      <alignment horizontal="right"/>
    </xf>
    <xf numFmtId="0" fontId="2" fillId="9" borderId="6" xfId="0" applyFont="1" applyFill="1" applyBorder="1" applyAlignment="1" applyProtection="1">
      <alignment horizontal="right"/>
    </xf>
    <xf numFmtId="0" fontId="2" fillId="9" borderId="2" xfId="0" applyFont="1" applyFill="1" applyBorder="1" applyAlignment="1" applyProtection="1">
      <alignment horizontal="right"/>
    </xf>
    <xf numFmtId="166" fontId="2" fillId="20" borderId="0" xfId="0" applyNumberFormat="1" applyFont="1" applyFill="1" applyProtection="1"/>
    <xf numFmtId="166" fontId="39" fillId="20" borderId="0" xfId="0" applyNumberFormat="1" applyFont="1" applyFill="1" applyProtection="1"/>
    <xf numFmtId="166" fontId="2" fillId="20" borderId="1" xfId="0" applyNumberFormat="1" applyFont="1" applyFill="1" applyBorder="1" applyProtection="1"/>
    <xf numFmtId="166" fontId="2" fillId="0" borderId="0" xfId="0" applyNumberFormat="1" applyFont="1" applyFill="1" applyProtection="1"/>
    <xf numFmtId="0" fontId="58" fillId="3" borderId="0" xfId="0" applyFont="1" applyFill="1" applyAlignment="1" applyProtection="1">
      <alignment horizontal="center" wrapText="1"/>
    </xf>
    <xf numFmtId="0" fontId="0" fillId="3" borderId="0" xfId="0" applyFill="1" applyAlignment="1" applyProtection="1"/>
    <xf numFmtId="0" fontId="76" fillId="3" borderId="0" xfId="0" applyFont="1" applyFill="1" applyAlignment="1" applyProtection="1">
      <alignment horizontal="left"/>
    </xf>
    <xf numFmtId="0" fontId="37" fillId="3" borderId="0" xfId="0" applyFont="1" applyFill="1" applyProtection="1"/>
    <xf numFmtId="9" fontId="0" fillId="20" borderId="0" xfId="0" applyNumberFormat="1" applyFill="1" applyProtection="1"/>
    <xf numFmtId="0" fontId="74" fillId="9" borderId="19" xfId="0" applyFont="1" applyFill="1" applyBorder="1" applyAlignment="1" applyProtection="1"/>
    <xf numFmtId="0" fontId="74" fillId="9" borderId="1" xfId="0" applyFont="1" applyFill="1" applyBorder="1" applyAlignment="1" applyProtection="1"/>
    <xf numFmtId="0" fontId="74" fillId="9" borderId="5" xfId="0" applyFont="1" applyFill="1" applyBorder="1" applyAlignment="1" applyProtection="1"/>
    <xf numFmtId="0" fontId="74" fillId="9" borderId="14" xfId="0" applyFont="1" applyFill="1" applyBorder="1" applyAlignment="1" applyProtection="1"/>
    <xf numFmtId="9" fontId="2" fillId="20" borderId="0" xfId="0" applyNumberFormat="1" applyFont="1" applyFill="1" applyProtection="1"/>
    <xf numFmtId="0" fontId="71" fillId="3" borderId="0" xfId="0" applyFont="1" applyFill="1" applyAlignment="1" applyProtection="1">
      <alignment horizontal="left"/>
    </xf>
    <xf numFmtId="0" fontId="0" fillId="20" borderId="0" xfId="0" applyFill="1" applyAlignment="1" applyProtection="1">
      <alignment horizontal="center"/>
    </xf>
    <xf numFmtId="0" fontId="6" fillId="20" borderId="0" xfId="0" applyFont="1" applyFill="1" applyBorder="1" applyAlignment="1" applyProtection="1">
      <alignment horizontal="center"/>
    </xf>
    <xf numFmtId="0" fontId="6" fillId="9" borderId="0" xfId="0" applyFont="1" applyFill="1" applyBorder="1" applyAlignment="1" applyProtection="1">
      <alignment horizontal="center"/>
    </xf>
    <xf numFmtId="0" fontId="58" fillId="3" borderId="0" xfId="0" applyFont="1" applyFill="1" applyAlignment="1" applyProtection="1"/>
    <xf numFmtId="0" fontId="58" fillId="3" borderId="25" xfId="0" applyFont="1" applyFill="1" applyBorder="1" applyAlignment="1" applyProtection="1"/>
    <xf numFmtId="9" fontId="2" fillId="20" borderId="0" xfId="0" applyNumberFormat="1" applyFont="1" applyFill="1" applyBorder="1" applyAlignment="1" applyProtection="1">
      <alignment horizontal="right"/>
    </xf>
    <xf numFmtId="9" fontId="64" fillId="0" borderId="0" xfId="0" applyNumberFormat="1" applyFont="1" applyFill="1" applyProtection="1"/>
    <xf numFmtId="0" fontId="64" fillId="0" borderId="0" xfId="0" applyFont="1" applyAlignment="1" applyProtection="1">
      <alignment horizontal="left"/>
    </xf>
    <xf numFmtId="1" fontId="64" fillId="0" borderId="2" xfId="0" applyNumberFormat="1" applyFont="1" applyBorder="1" applyProtection="1"/>
    <xf numFmtId="0" fontId="64" fillId="0" borderId="2" xfId="0" applyFont="1" applyBorder="1" applyProtection="1"/>
    <xf numFmtId="0" fontId="80" fillId="0" borderId="2" xfId="0" applyFont="1" applyBorder="1" applyProtection="1"/>
    <xf numFmtId="164" fontId="64" fillId="0" borderId="2" xfId="0" applyNumberFormat="1" applyFont="1" applyBorder="1" applyProtection="1"/>
    <xf numFmtId="0" fontId="64" fillId="0" borderId="0" xfId="0" applyFont="1" applyFill="1" applyBorder="1" applyProtection="1"/>
    <xf numFmtId="0" fontId="12" fillId="0" borderId="0" xfId="0" applyFont="1" applyFill="1" applyBorder="1" applyProtection="1"/>
    <xf numFmtId="0" fontId="64" fillId="0" borderId="20" xfId="0" applyFont="1" applyFill="1" applyBorder="1" applyProtection="1"/>
    <xf numFmtId="0" fontId="64" fillId="0" borderId="1" xfId="0" applyFont="1" applyBorder="1" applyAlignment="1" applyProtection="1">
      <alignment horizontal="left"/>
    </xf>
    <xf numFmtId="9" fontId="64" fillId="0" borderId="1" xfId="0" applyNumberFormat="1" applyFont="1" applyFill="1" applyBorder="1" applyProtection="1"/>
    <xf numFmtId="0" fontId="64" fillId="0" borderId="1" xfId="0" applyFont="1" applyBorder="1" applyProtection="1"/>
    <xf numFmtId="164" fontId="64" fillId="0" borderId="6" xfId="0" applyNumberFormat="1" applyFont="1" applyBorder="1" applyProtection="1"/>
    <xf numFmtId="0" fontId="64" fillId="0" borderId="20" xfId="0" applyFont="1" applyBorder="1" applyProtection="1"/>
    <xf numFmtId="10" fontId="6" fillId="20" borderId="0" xfId="0" applyNumberFormat="1" applyFont="1" applyFill="1" applyBorder="1" applyAlignment="1" applyProtection="1">
      <alignment horizontal="left"/>
    </xf>
    <xf numFmtId="9" fontId="0" fillId="19" borderId="2" xfId="0" applyNumberFormat="1" applyFill="1" applyBorder="1" applyAlignment="1" applyProtection="1">
      <alignment horizontal="center"/>
    </xf>
    <xf numFmtId="0" fontId="38" fillId="9" borderId="0" xfId="0" applyFont="1" applyFill="1" applyBorder="1" applyProtection="1"/>
    <xf numFmtId="0" fontId="38" fillId="9" borderId="0" xfId="0" applyFont="1" applyFill="1" applyBorder="1" applyAlignment="1" applyProtection="1">
      <alignment horizontal="center"/>
    </xf>
    <xf numFmtId="0" fontId="38" fillId="3" borderId="0" xfId="0" applyFont="1" applyFill="1" applyAlignment="1" applyProtection="1"/>
    <xf numFmtId="0" fontId="38" fillId="9" borderId="0" xfId="0" applyFont="1" applyFill="1" applyProtection="1"/>
    <xf numFmtId="0" fontId="4" fillId="15" borderId="21" xfId="0" applyFont="1" applyFill="1" applyBorder="1" applyProtection="1"/>
    <xf numFmtId="1" fontId="4" fillId="15" borderId="21" xfId="0" applyNumberFormat="1" applyFont="1" applyFill="1" applyBorder="1" applyProtection="1"/>
    <xf numFmtId="164" fontId="2" fillId="0" borderId="0" xfId="0" applyNumberFormat="1" applyFont="1" applyFill="1" applyBorder="1" applyProtection="1"/>
    <xf numFmtId="1" fontId="36" fillId="0" borderId="0" xfId="4" applyNumberFormat="1" applyFont="1" applyFill="1" applyBorder="1" applyProtection="1"/>
    <xf numFmtId="0" fontId="2" fillId="12" borderId="26" xfId="0" applyFont="1" applyFill="1" applyBorder="1" applyAlignment="1" applyProtection="1">
      <alignment vertical="top" wrapText="1"/>
    </xf>
    <xf numFmtId="0" fontId="2" fillId="12" borderId="26" xfId="0" applyFont="1" applyFill="1" applyBorder="1" applyAlignment="1" applyProtection="1">
      <alignment vertical="top"/>
    </xf>
    <xf numFmtId="0" fontId="32" fillId="3" borderId="0" xfId="0" applyFont="1" applyFill="1" applyAlignment="1" applyProtection="1">
      <alignment horizontal="left"/>
    </xf>
    <xf numFmtId="0" fontId="32" fillId="9" borderId="0" xfId="0" applyFont="1" applyFill="1" applyAlignment="1" applyProtection="1">
      <alignment horizontal="left"/>
    </xf>
    <xf numFmtId="0" fontId="36" fillId="15" borderId="27" xfId="4" applyFont="1" applyFill="1" applyBorder="1" applyAlignment="1" applyProtection="1"/>
    <xf numFmtId="0" fontId="36" fillId="11" borderId="32" xfId="4" applyFont="1" applyFill="1" applyBorder="1" applyProtection="1"/>
    <xf numFmtId="0" fontId="36" fillId="15" borderId="32" xfId="4" applyFont="1" applyFill="1" applyBorder="1" applyProtection="1"/>
    <xf numFmtId="0" fontId="36" fillId="15" borderId="33" xfId="4" applyFont="1" applyFill="1" applyBorder="1" applyProtection="1"/>
    <xf numFmtId="0" fontId="53" fillId="9" borderId="0" xfId="5" applyFont="1" applyFill="1" applyProtection="1"/>
    <xf numFmtId="0" fontId="53" fillId="9" borderId="0" xfId="5" applyFont="1" applyFill="1" applyBorder="1" applyProtection="1"/>
    <xf numFmtId="0" fontId="36" fillId="9" borderId="0" xfId="4" applyFont="1" applyFill="1" applyAlignment="1" applyProtection="1">
      <alignment horizontal="left" indent="2"/>
    </xf>
    <xf numFmtId="0" fontId="36" fillId="9" borderId="0" xfId="4" applyFont="1" applyFill="1" applyBorder="1" applyAlignment="1" applyProtection="1">
      <alignment horizontal="left" indent="2"/>
    </xf>
    <xf numFmtId="0" fontId="44" fillId="0" borderId="16" xfId="4" applyFont="1" applyBorder="1" applyProtection="1"/>
    <xf numFmtId="0" fontId="44" fillId="12" borderId="21" xfId="4" applyFont="1" applyFill="1" applyBorder="1" applyAlignment="1" applyProtection="1"/>
    <xf numFmtId="0" fontId="44" fillId="12" borderId="16" xfId="4" applyFont="1" applyFill="1" applyBorder="1" applyProtection="1"/>
    <xf numFmtId="0" fontId="44" fillId="12" borderId="2" xfId="4" applyFont="1" applyFill="1" applyBorder="1" applyAlignment="1" applyProtection="1"/>
    <xf numFmtId="0" fontId="44" fillId="12" borderId="5" xfId="4" applyFont="1" applyFill="1" applyBorder="1" applyAlignment="1" applyProtection="1"/>
    <xf numFmtId="0" fontId="36" fillId="11" borderId="27" xfId="4" applyFont="1" applyFill="1" applyBorder="1" applyAlignment="1" applyProtection="1"/>
    <xf numFmtId="0" fontId="36" fillId="0" borderId="32" xfId="4" applyFont="1" applyBorder="1" applyProtection="1"/>
    <xf numFmtId="0" fontId="2" fillId="0" borderId="32" xfId="4" applyFont="1" applyBorder="1" applyProtection="1"/>
    <xf numFmtId="0" fontId="36" fillId="0" borderId="33" xfId="4" applyFont="1" applyBorder="1" applyProtection="1"/>
    <xf numFmtId="0" fontId="2" fillId="9" borderId="0" xfId="0" applyFont="1" applyFill="1" applyAlignment="1" applyProtection="1">
      <alignment horizontal="left" wrapText="1"/>
    </xf>
    <xf numFmtId="0" fontId="81" fillId="22" borderId="0" xfId="0" applyFont="1" applyFill="1" applyBorder="1" applyAlignment="1"/>
    <xf numFmtId="0" fontId="2" fillId="22" borderId="0" xfId="0" applyFont="1" applyFill="1" applyBorder="1" applyAlignment="1"/>
    <xf numFmtId="166" fontId="2" fillId="3" borderId="0" xfId="0" applyNumberFormat="1" applyFont="1" applyFill="1" applyBorder="1" applyProtection="1"/>
    <xf numFmtId="0" fontId="77" fillId="9" borderId="0" xfId="0" applyFont="1" applyFill="1" applyProtection="1"/>
    <xf numFmtId="0" fontId="77" fillId="9" borderId="0" xfId="0" applyFont="1" applyFill="1" applyAlignment="1" applyProtection="1">
      <alignment horizontal="left" indent="2"/>
    </xf>
    <xf numFmtId="0" fontId="32" fillId="3" borderId="0" xfId="0" applyFont="1" applyFill="1" applyBorder="1" applyAlignment="1" applyProtection="1">
      <alignment horizontal="left"/>
    </xf>
    <xf numFmtId="0" fontId="82" fillId="0" borderId="0" xfId="0" applyFont="1" applyAlignment="1">
      <alignment vertical="center"/>
    </xf>
    <xf numFmtId="0" fontId="0" fillId="3" borderId="0" xfId="0" applyFill="1" applyAlignment="1" applyProtection="1">
      <alignment horizontal="left" indent="2"/>
    </xf>
    <xf numFmtId="0" fontId="7" fillId="3" borderId="0" xfId="1" applyFill="1" applyAlignment="1" applyProtection="1"/>
    <xf numFmtId="0" fontId="78" fillId="9" borderId="0" xfId="0" applyFont="1" applyFill="1" applyProtection="1"/>
    <xf numFmtId="0" fontId="7" fillId="0" borderId="0" xfId="1" applyAlignment="1" applyProtection="1"/>
    <xf numFmtId="0" fontId="30" fillId="9" borderId="0" xfId="0" applyFont="1" applyFill="1" applyAlignment="1">
      <alignment horizontal="left"/>
    </xf>
    <xf numFmtId="0" fontId="4" fillId="23" borderId="0" xfId="0" applyFont="1" applyFill="1" applyProtection="1"/>
    <xf numFmtId="0" fontId="4" fillId="23" borderId="0" xfId="0" applyFont="1" applyFill="1" applyAlignment="1" applyProtection="1">
      <alignment horizontal="center"/>
    </xf>
    <xf numFmtId="0" fontId="4" fillId="23" borderId="0" xfId="0" applyFont="1" applyFill="1" applyAlignment="1" applyProtection="1">
      <alignment horizontal="left" indent="1"/>
    </xf>
    <xf numFmtId="3" fontId="4" fillId="23" borderId="0" xfId="3" applyNumberFormat="1" applyFont="1" applyFill="1" applyAlignment="1" applyProtection="1">
      <alignment horizontal="right"/>
    </xf>
    <xf numFmtId="0" fontId="0" fillId="23" borderId="0" xfId="0" applyFill="1" applyProtection="1"/>
    <xf numFmtId="9" fontId="0" fillId="23" borderId="0" xfId="3" applyFont="1" applyFill="1" applyProtection="1"/>
    <xf numFmtId="0" fontId="5" fillId="3" borderId="0" xfId="0" applyFont="1" applyFill="1"/>
    <xf numFmtId="0" fontId="5" fillId="3" borderId="0" xfId="0" applyFont="1" applyFill="1" applyAlignment="1">
      <alignment horizontal="left"/>
    </xf>
    <xf numFmtId="0" fontId="2" fillId="9" borderId="0" xfId="0" applyFont="1" applyFill="1" applyAlignment="1">
      <alignment horizontal="left" vertical="center"/>
    </xf>
    <xf numFmtId="9" fontId="2" fillId="9" borderId="0" xfId="3" applyFont="1" applyFill="1" applyBorder="1" applyAlignment="1" applyProtection="1">
      <alignment horizontal="center"/>
    </xf>
    <xf numFmtId="9" fontId="2" fillId="3" borderId="1" xfId="0" applyNumberFormat="1" applyFont="1" applyFill="1" applyBorder="1" applyAlignment="1" applyProtection="1">
      <alignment horizontal="center"/>
    </xf>
    <xf numFmtId="0" fontId="2" fillId="9" borderId="0" xfId="0" applyFont="1" applyFill="1" applyAlignment="1" applyProtection="1">
      <alignment horizontal="left" wrapText="1"/>
    </xf>
    <xf numFmtId="49" fontId="2" fillId="3" borderId="0" xfId="0" applyNumberFormat="1" applyFont="1" applyFill="1" applyAlignment="1" applyProtection="1">
      <alignment horizontal="left" vertical="top" wrapText="1"/>
    </xf>
    <xf numFmtId="0" fontId="2" fillId="3" borderId="0" xfId="0" applyFont="1" applyFill="1" applyAlignment="1" applyProtection="1">
      <alignment horizontal="left" wrapText="1"/>
    </xf>
    <xf numFmtId="0" fontId="0" fillId="3" borderId="0" xfId="0" applyFill="1" applyAlignment="1" applyProtection="1">
      <alignment horizontal="left" wrapText="1"/>
    </xf>
    <xf numFmtId="0" fontId="2" fillId="3" borderId="0" xfId="0" applyFont="1" applyFill="1" applyAlignment="1" applyProtection="1">
      <alignment horizontal="left" vertical="center" wrapText="1"/>
    </xf>
    <xf numFmtId="0" fontId="0" fillId="3" borderId="0" xfId="0" applyFill="1" applyAlignment="1" applyProtection="1">
      <alignment horizontal="left" vertical="center" wrapText="1"/>
    </xf>
    <xf numFmtId="166" fontId="0" fillId="20" borderId="0" xfId="3" applyNumberFormat="1" applyFont="1" applyFill="1" applyBorder="1" applyAlignment="1" applyProtection="1">
      <alignment horizontal="right" vertical="center"/>
    </xf>
    <xf numFmtId="0" fontId="0" fillId="16" borderId="21" xfId="0" applyFill="1" applyBorder="1" applyAlignment="1" applyProtection="1">
      <alignment horizontal="left"/>
      <protection locked="0"/>
    </xf>
    <xf numFmtId="0" fontId="0" fillId="16" borderId="16" xfId="0" applyFill="1" applyBorder="1" applyAlignment="1" applyProtection="1">
      <alignment horizontal="left"/>
      <protection locked="0"/>
    </xf>
    <xf numFmtId="0" fontId="2" fillId="17" borderId="24" xfId="0" applyFont="1" applyFill="1" applyBorder="1" applyAlignment="1" applyProtection="1">
      <alignment horizontal="left" wrapText="1"/>
    </xf>
    <xf numFmtId="0" fontId="2" fillId="17" borderId="0" xfId="0" applyFont="1" applyFill="1" applyBorder="1" applyAlignment="1" applyProtection="1">
      <alignment horizontal="left" wrapText="1"/>
    </xf>
    <xf numFmtId="0" fontId="39" fillId="17" borderId="24" xfId="0" applyFont="1" applyFill="1" applyBorder="1" applyAlignment="1" applyProtection="1">
      <alignment horizontal="left" wrapText="1"/>
    </xf>
    <xf numFmtId="0" fontId="39" fillId="17" borderId="0" xfId="0" applyFont="1" applyFill="1" applyBorder="1" applyAlignment="1" applyProtection="1">
      <alignment horizontal="left" wrapText="1"/>
    </xf>
    <xf numFmtId="0" fontId="58" fillId="3" borderId="0" xfId="0" applyFont="1" applyFill="1" applyAlignment="1" applyProtection="1">
      <alignment horizontal="center" wrapText="1"/>
    </xf>
    <xf numFmtId="0" fontId="58" fillId="3" borderId="1" xfId="0" applyFont="1" applyFill="1" applyBorder="1" applyAlignment="1" applyProtection="1">
      <alignment horizontal="center" wrapText="1"/>
    </xf>
    <xf numFmtId="0" fontId="58" fillId="3" borderId="20" xfId="0" applyFont="1" applyFill="1" applyBorder="1" applyAlignment="1" applyProtection="1">
      <alignment horizontal="center" wrapText="1"/>
    </xf>
    <xf numFmtId="0" fontId="46" fillId="0"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1" fontId="2" fillId="0" borderId="21" xfId="0" applyNumberFormat="1" applyFont="1" applyBorder="1" applyAlignment="1" applyProtection="1">
      <alignment horizontal="center"/>
    </xf>
    <xf numFmtId="1" fontId="2" fillId="0" borderId="5" xfId="0" applyNumberFormat="1" applyFont="1" applyBorder="1" applyAlignment="1" applyProtection="1">
      <alignment horizontal="center"/>
    </xf>
    <xf numFmtId="1" fontId="2" fillId="0" borderId="16" xfId="0" applyNumberFormat="1" applyFont="1" applyBorder="1" applyAlignment="1" applyProtection="1">
      <alignment horizontal="center"/>
    </xf>
    <xf numFmtId="164" fontId="2" fillId="0" borderId="2" xfId="0" applyNumberFormat="1" applyFont="1" applyBorder="1" applyAlignment="1" applyProtection="1">
      <alignment horizontal="center"/>
    </xf>
    <xf numFmtId="0" fontId="2" fillId="0" borderId="21"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16" xfId="0" applyFont="1" applyFill="1" applyBorder="1" applyAlignment="1" applyProtection="1">
      <alignment horizontal="center"/>
    </xf>
    <xf numFmtId="2" fontId="2" fillId="0" borderId="21" xfId="0" applyNumberFormat="1" applyFont="1" applyFill="1" applyBorder="1" applyAlignment="1" applyProtection="1">
      <alignment horizontal="center"/>
    </xf>
    <xf numFmtId="2" fontId="2" fillId="0" borderId="5" xfId="0" applyNumberFormat="1" applyFont="1" applyFill="1" applyBorder="1" applyAlignment="1" applyProtection="1">
      <alignment horizontal="center"/>
    </xf>
    <xf numFmtId="2" fontId="2" fillId="0" borderId="16" xfId="0" applyNumberFormat="1" applyFont="1" applyFill="1" applyBorder="1" applyAlignment="1" applyProtection="1">
      <alignment horizontal="center"/>
    </xf>
    <xf numFmtId="165" fontId="2" fillId="0" borderId="21" xfId="0" applyNumberFormat="1" applyFont="1" applyFill="1" applyBorder="1" applyAlignment="1" applyProtection="1">
      <alignment horizontal="center"/>
    </xf>
    <xf numFmtId="165" fontId="2" fillId="0" borderId="5" xfId="0" applyNumberFormat="1" applyFont="1" applyFill="1" applyBorder="1" applyAlignment="1" applyProtection="1">
      <alignment horizontal="center"/>
    </xf>
    <xf numFmtId="165" fontId="2" fillId="0" borderId="16" xfId="0" applyNumberFormat="1" applyFont="1" applyFill="1" applyBorder="1" applyAlignment="1" applyProtection="1">
      <alignment horizontal="center"/>
    </xf>
    <xf numFmtId="1" fontId="2" fillId="0" borderId="2" xfId="0" applyNumberFormat="1" applyFont="1" applyBorder="1" applyAlignment="1" applyProtection="1">
      <alignment horizontal="center"/>
    </xf>
    <xf numFmtId="0" fontId="2" fillId="0" borderId="21" xfId="0" applyFont="1" applyBorder="1" applyAlignment="1" applyProtection="1">
      <alignment horizontal="center"/>
    </xf>
    <xf numFmtId="0" fontId="2" fillId="0" borderId="5" xfId="0" applyFont="1" applyBorder="1" applyAlignment="1" applyProtection="1">
      <alignment horizontal="center"/>
    </xf>
    <xf numFmtId="0" fontId="2" fillId="0" borderId="16" xfId="0" applyFont="1" applyBorder="1" applyAlignment="1" applyProtection="1">
      <alignment horizontal="center"/>
    </xf>
    <xf numFmtId="0" fontId="2" fillId="0" borderId="2" xfId="0" applyFont="1" applyBorder="1" applyAlignment="1" applyProtection="1">
      <alignment horizontal="center"/>
    </xf>
    <xf numFmtId="165" fontId="2" fillId="0" borderId="2" xfId="0" applyNumberFormat="1" applyFont="1" applyFill="1" applyBorder="1" applyAlignment="1" applyProtection="1">
      <alignment horizontal="center"/>
    </xf>
    <xf numFmtId="2" fontId="2" fillId="0" borderId="2" xfId="0" applyNumberFormat="1" applyFont="1" applyBorder="1" applyAlignment="1" applyProtection="1">
      <alignment horizontal="center"/>
    </xf>
    <xf numFmtId="2" fontId="2" fillId="0" borderId="2" xfId="0" applyNumberFormat="1" applyFont="1" applyFill="1" applyBorder="1" applyAlignment="1" applyProtection="1">
      <alignment horizontal="center"/>
    </xf>
    <xf numFmtId="0" fontId="2" fillId="0" borderId="2" xfId="0" applyFont="1" applyFill="1" applyBorder="1" applyAlignment="1" applyProtection="1">
      <alignment horizontal="center"/>
    </xf>
    <xf numFmtId="9" fontId="2" fillId="0" borderId="2" xfId="0" applyNumberFormat="1" applyFont="1" applyFill="1" applyBorder="1" applyAlignment="1" applyProtection="1">
      <alignment horizontal="center"/>
    </xf>
    <xf numFmtId="0" fontId="79" fillId="0" borderId="15" xfId="0" applyFont="1" applyFill="1" applyBorder="1" applyAlignment="1" applyProtection="1">
      <alignment horizontal="left" wrapText="1"/>
    </xf>
    <xf numFmtId="0" fontId="79" fillId="0" borderId="31" xfId="0" applyFont="1" applyFill="1" applyBorder="1" applyAlignment="1" applyProtection="1">
      <alignment horizontal="left" wrapText="1"/>
    </xf>
    <xf numFmtId="0" fontId="79" fillId="0" borderId="6" xfId="0" applyFont="1" applyFill="1" applyBorder="1" applyAlignment="1" applyProtection="1">
      <alignment horizontal="left" wrapText="1"/>
    </xf>
    <xf numFmtId="2" fontId="2" fillId="0" borderId="21" xfId="0" applyNumberFormat="1" applyFont="1" applyBorder="1" applyAlignment="1" applyProtection="1">
      <alignment horizontal="center"/>
    </xf>
    <xf numFmtId="2" fontId="2" fillId="0" borderId="5" xfId="0" applyNumberFormat="1" applyFont="1" applyBorder="1" applyAlignment="1" applyProtection="1">
      <alignment horizontal="center"/>
    </xf>
    <xf numFmtId="2" fontId="2" fillId="0" borderId="16" xfId="0" applyNumberFormat="1" applyFont="1" applyBorder="1" applyAlignment="1" applyProtection="1">
      <alignment horizontal="center"/>
    </xf>
    <xf numFmtId="0" fontId="52" fillId="0" borderId="21" xfId="0" applyFont="1" applyFill="1" applyBorder="1" applyAlignment="1" applyProtection="1">
      <alignment horizontal="center"/>
    </xf>
    <xf numFmtId="0" fontId="52" fillId="0" borderId="5" xfId="0" applyFont="1" applyFill="1" applyBorder="1" applyAlignment="1" applyProtection="1">
      <alignment horizontal="center"/>
    </xf>
    <xf numFmtId="0" fontId="52" fillId="0" borderId="16" xfId="0" applyFont="1" applyFill="1" applyBorder="1" applyAlignment="1" applyProtection="1">
      <alignment horizontal="center"/>
    </xf>
    <xf numFmtId="0" fontId="36" fillId="0" borderId="2" xfId="4" applyFont="1" applyFill="1" applyBorder="1" applyAlignment="1" applyProtection="1">
      <alignment horizontal="left"/>
    </xf>
    <xf numFmtId="0" fontId="36" fillId="11" borderId="2" xfId="4" applyFont="1" applyFill="1" applyBorder="1" applyAlignment="1" applyProtection="1">
      <alignment horizontal="left"/>
    </xf>
    <xf numFmtId="0" fontId="2" fillId="11" borderId="6" xfId="0" applyFont="1" applyFill="1" applyBorder="1" applyAlignment="1" applyProtection="1">
      <alignment horizontal="center"/>
    </xf>
    <xf numFmtId="0" fontId="36" fillId="11" borderId="2" xfId="4" applyFont="1" applyFill="1" applyBorder="1" applyAlignment="1" applyProtection="1">
      <alignment horizontal="left" vertical="center"/>
    </xf>
    <xf numFmtId="0" fontId="36" fillId="11" borderId="2" xfId="4" applyFont="1" applyFill="1" applyBorder="1" applyAlignment="1" applyProtection="1">
      <alignment horizontal="center" wrapText="1"/>
    </xf>
    <xf numFmtId="0" fontId="4" fillId="8" borderId="13" xfId="0" applyFont="1" applyFill="1" applyBorder="1" applyAlignment="1" applyProtection="1">
      <alignment horizontal="center"/>
    </xf>
    <xf numFmtId="0" fontId="0" fillId="8" borderId="8" xfId="0" applyFill="1" applyBorder="1" applyAlignment="1" applyProtection="1"/>
    <xf numFmtId="3" fontId="4" fillId="8" borderId="10" xfId="0" applyNumberFormat="1" applyFont="1" applyFill="1" applyBorder="1" applyAlignment="1" applyProtection="1">
      <alignment horizontal="center"/>
    </xf>
    <xf numFmtId="3" fontId="0" fillId="8" borderId="12" xfId="0" applyNumberFormat="1" applyFill="1" applyBorder="1" applyAlignment="1" applyProtection="1"/>
  </cellXfs>
  <cellStyles count="14">
    <cellStyle name="Link" xfId="1" builtinId="8"/>
    <cellStyle name="Link 2" xfId="5" xr:uid="{BAD5A117-D5C1-4A5D-86A5-8C5EA6138DC2}"/>
    <cellStyle name="Normal 2" xfId="13" xr:uid="{13A0BDF1-BBB9-4312-A26D-12367A481FF1}"/>
    <cellStyle name="Normal 3" xfId="8" xr:uid="{BD7861C5-4880-443D-91EC-0DAADAEB97D7}"/>
    <cellStyle name="Normal_COUNTRY" xfId="2" xr:uid="{00000000-0005-0000-0000-000001000000}"/>
    <cellStyle name="Prozent" xfId="3" builtinId="5"/>
    <cellStyle name="Prozent 2" xfId="6" xr:uid="{3870C3EB-73E6-489D-9687-525C6D20601B}"/>
    <cellStyle name="Prozent 2 4" xfId="10" xr:uid="{8DA7925E-4C2B-4D8A-B2F4-9C73C6FB5E7D}"/>
    <cellStyle name="Prozent 6" xfId="9" xr:uid="{6D535B4B-3B3E-4E73-B560-4E009C33A6E6}"/>
    <cellStyle name="Standard" xfId="0" builtinId="0"/>
    <cellStyle name="Standard 17" xfId="7" xr:uid="{0C8E1A71-8B9D-48DA-BA8A-840255448B0C}"/>
    <cellStyle name="Standard 2" xfId="4" xr:uid="{DA230810-7C2A-4C3D-9939-6EADD8A5BCA8}"/>
    <cellStyle name="Standard 3 2" xfId="11" xr:uid="{99D0ACD8-7322-4D69-8267-68AF08DD1A90}"/>
    <cellStyle name="Standard 4" xfId="12" xr:uid="{0E3A717C-F662-4D99-B673-A3F52DC78749}"/>
  </cellStyles>
  <dxfs count="66">
    <dxf>
      <font>
        <color rgb="FF9C0006"/>
      </font>
      <fill>
        <patternFill>
          <bgColor rgb="FFFFC7CE"/>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2"/>
        </patternFill>
      </fill>
    </dxf>
    <dxf>
      <font>
        <color auto="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0"/>
        </patternFill>
      </fill>
    </dxf>
    <dxf>
      <font>
        <color auto="1"/>
      </font>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0"/>
        </patternFill>
      </fill>
    </dxf>
    <dxf>
      <font>
        <color auto="1"/>
      </font>
      <fill>
        <patternFill>
          <bgColor theme="0"/>
        </patternFill>
      </fill>
    </dxf>
  </dxfs>
  <tableStyles count="0" defaultTableStyle="TableStyleMedium2" defaultPivotStyle="PivotStyleLight16"/>
  <colors>
    <mruColors>
      <color rgb="FF800080"/>
      <color rgb="FFFFFF99"/>
      <color rgb="FF990099"/>
      <color rgb="FF99CC00"/>
      <color rgb="FFCCFFFF"/>
      <color rgb="FFFFE89F"/>
      <color rgb="FFEA7E08"/>
      <color rgb="FFFFD653"/>
      <color rgb="FFFFA725"/>
      <color rgb="FFFC9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Waste treated</a:t>
            </a:r>
          </a:p>
        </c:rich>
      </c:tx>
      <c:layout>
        <c:manualLayout>
          <c:xMode val="edge"/>
          <c:yMode val="edge"/>
          <c:x val="0.41295546558704455"/>
          <c:y val="1.2165479027617063E-2"/>
        </c:manualLayout>
      </c:layout>
      <c:overlay val="0"/>
      <c:spPr>
        <a:noFill/>
        <a:ln w="25400">
          <a:noFill/>
        </a:ln>
      </c:spPr>
    </c:title>
    <c:autoTitleDeleted val="0"/>
    <c:plotArea>
      <c:layout>
        <c:manualLayout>
          <c:layoutTarget val="inner"/>
          <c:xMode val="edge"/>
          <c:yMode val="edge"/>
          <c:x val="0.19249966283858785"/>
          <c:y val="8.7591460285341427E-2"/>
          <c:w val="0.77327935222672062"/>
          <c:h val="0.60827395138085316"/>
        </c:manualLayout>
      </c:layout>
      <c:barChart>
        <c:barDir val="col"/>
        <c:grouping val="clustered"/>
        <c:varyColors val="0"/>
        <c:ser>
          <c:idx val="0"/>
          <c:order val="0"/>
          <c:spPr>
            <a:solidFill>
              <a:srgbClr val="008000"/>
            </a:solidFill>
            <a:ln w="12700">
              <a:solidFill>
                <a:srgbClr val="000000"/>
              </a:solidFill>
              <a:prstDash val="solid"/>
            </a:ln>
          </c:spPr>
          <c:invertIfNegative val="0"/>
          <c:cat>
            <c:strRef>
              <c:f>('LCA SQ'!$B$7:$B$14,'LCA SQ'!$B$17:$B$26)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SQ'!$C$7:$C$14,'LCA SQ'!$C$17:$C$26)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84CB-4144-A2CE-BD80C8B21782}"/>
            </c:ext>
          </c:extLst>
        </c:ser>
        <c:dLbls>
          <c:showLegendKey val="0"/>
          <c:showVal val="0"/>
          <c:showCatName val="0"/>
          <c:showSerName val="0"/>
          <c:showPercent val="0"/>
          <c:showBubbleSize val="0"/>
        </c:dLbls>
        <c:gapWidth val="100"/>
        <c:axId val="560928664"/>
        <c:axId val="1"/>
      </c:barChart>
      <c:catAx>
        <c:axId val="560928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366000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de-DE"/>
                  <a:t>t/yr</a:t>
                </a:r>
              </a:p>
            </c:rich>
          </c:tx>
          <c:layout>
            <c:manualLayout>
              <c:xMode val="edge"/>
              <c:yMode val="edge"/>
              <c:x val="1.0121457489878543E-2"/>
              <c:y val="0.360098179217465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0928664"/>
        <c:crosses val="autoZero"/>
        <c:crossBetween val="between"/>
      </c:valAx>
      <c:spPr>
        <a:noFill/>
        <a:ln w="3175">
          <a:solidFill>
            <a:srgbClr val="000000"/>
          </a:solidFill>
          <a:prstDash val="solid"/>
        </a:ln>
      </c:spPr>
    </c:plotArea>
    <c:plotVisOnly val="1"/>
    <c:dispBlanksAs val="gap"/>
    <c:showDLblsOverMax val="0"/>
  </c:chart>
  <c:spPr>
    <a:no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recycling</a:t>
            </a:r>
          </a:p>
        </c:rich>
      </c:tx>
      <c:layout>
        <c:manualLayout>
          <c:xMode val="edge"/>
          <c:yMode val="edge"/>
          <c:x val="0.24764179461991753"/>
          <c:y val="1.7595307917888565E-2"/>
        </c:manualLayout>
      </c:layout>
      <c:overlay val="0"/>
      <c:spPr>
        <a:noFill/>
        <a:ln w="25400">
          <a:noFill/>
        </a:ln>
      </c:spPr>
    </c:title>
    <c:autoTitleDeleted val="0"/>
    <c:plotArea>
      <c:layout>
        <c:manualLayout>
          <c:layoutTarget val="inner"/>
          <c:xMode val="edge"/>
          <c:yMode val="edge"/>
          <c:x val="0.23584932820944526"/>
          <c:y val="0.10263929618768329"/>
          <c:w val="0.45518920344422936"/>
          <c:h val="0.77126099706744866"/>
        </c:manualLayout>
      </c:layout>
      <c:barChart>
        <c:barDir val="col"/>
        <c:grouping val="stacked"/>
        <c:varyColors val="0"/>
        <c:ser>
          <c:idx val="0"/>
          <c:order val="0"/>
          <c:tx>
            <c:strRef>
              <c:f>'LCA Sc2'!$B$63</c:f>
              <c:strCache>
                <c:ptCount val="1"/>
                <c:pt idx="0">
                  <c:v>Food waste</c:v>
                </c:pt>
              </c:strCache>
            </c:strRef>
          </c:tx>
          <c:spPr>
            <a:solidFill>
              <a:srgbClr val="99CC00"/>
            </a:solidFill>
            <a:ln w="12700">
              <a:solidFill>
                <a:srgbClr val="000000"/>
              </a:solidFill>
              <a:prstDash val="solid"/>
            </a:ln>
          </c:spPr>
          <c:invertIfNegative val="0"/>
          <c:cat>
            <c:strRef>
              <c:f>'LCA Sc2'!$C$62:$D$62</c:f>
              <c:strCache>
                <c:ptCount val="2"/>
                <c:pt idx="0">
                  <c:v>Recycled waste</c:v>
                </c:pt>
                <c:pt idx="1">
                  <c:v>Net</c:v>
                </c:pt>
              </c:strCache>
            </c:strRef>
          </c:cat>
          <c:val>
            <c:numRef>
              <c:f>'LCA Sc2'!$C$63:$D$63</c:f>
              <c:numCache>
                <c:formatCode>General</c:formatCode>
                <c:ptCount val="2"/>
                <c:pt idx="0" formatCode="#,##0">
                  <c:v>0</c:v>
                </c:pt>
              </c:numCache>
            </c:numRef>
          </c:val>
          <c:extLst>
            <c:ext xmlns:c16="http://schemas.microsoft.com/office/drawing/2014/chart" uri="{C3380CC4-5D6E-409C-BE32-E72D297353CC}">
              <c16:uniqueId val="{00000000-34FD-4A65-8CB2-204645183C8B}"/>
            </c:ext>
          </c:extLst>
        </c:ser>
        <c:ser>
          <c:idx val="1"/>
          <c:order val="1"/>
          <c:tx>
            <c:strRef>
              <c:f>'LCA Sc2'!$B$64</c:f>
              <c:strCache>
                <c:ptCount val="1"/>
                <c:pt idx="0">
                  <c:v>Garden and Park waste</c:v>
                </c:pt>
              </c:strCache>
            </c:strRef>
          </c:tx>
          <c:spPr>
            <a:solidFill>
              <a:srgbClr val="000080"/>
            </a:solidFill>
            <a:ln w="12700">
              <a:solidFill>
                <a:srgbClr val="000000"/>
              </a:solidFill>
              <a:prstDash val="solid"/>
            </a:ln>
          </c:spPr>
          <c:invertIfNegative val="0"/>
          <c:cat>
            <c:strRef>
              <c:f>'LCA Sc2'!$C$62:$D$62</c:f>
              <c:strCache>
                <c:ptCount val="2"/>
                <c:pt idx="0">
                  <c:v>Recycled waste</c:v>
                </c:pt>
                <c:pt idx="1">
                  <c:v>Net</c:v>
                </c:pt>
              </c:strCache>
            </c:strRef>
          </c:cat>
          <c:val>
            <c:numRef>
              <c:f>'LCA Sc2'!$C$64:$D$64</c:f>
              <c:numCache>
                <c:formatCode>General</c:formatCode>
                <c:ptCount val="2"/>
                <c:pt idx="0" formatCode="#,##0">
                  <c:v>0</c:v>
                </c:pt>
              </c:numCache>
            </c:numRef>
          </c:val>
          <c:extLst>
            <c:ext xmlns:c16="http://schemas.microsoft.com/office/drawing/2014/chart" uri="{C3380CC4-5D6E-409C-BE32-E72D297353CC}">
              <c16:uniqueId val="{00000001-34FD-4A65-8CB2-204645183C8B}"/>
            </c:ext>
          </c:extLst>
        </c:ser>
        <c:ser>
          <c:idx val="2"/>
          <c:order val="2"/>
          <c:tx>
            <c:strRef>
              <c:f>'LCA Sc2'!$B$65</c:f>
              <c:strCache>
                <c:ptCount val="1"/>
                <c:pt idx="0">
                  <c:v>Paper, cardboard</c:v>
                </c:pt>
              </c:strCache>
            </c:strRef>
          </c:tx>
          <c:spPr>
            <a:solidFill>
              <a:srgbClr val="CC99FF"/>
            </a:solidFill>
            <a:ln w="12700">
              <a:solidFill>
                <a:srgbClr val="000000"/>
              </a:solidFill>
              <a:prstDash val="solid"/>
            </a:ln>
          </c:spPr>
          <c:invertIfNegative val="0"/>
          <c:cat>
            <c:strRef>
              <c:f>'LCA Sc2'!$C$62:$D$62</c:f>
              <c:strCache>
                <c:ptCount val="2"/>
                <c:pt idx="0">
                  <c:v>Recycled waste</c:v>
                </c:pt>
                <c:pt idx="1">
                  <c:v>Net</c:v>
                </c:pt>
              </c:strCache>
            </c:strRef>
          </c:cat>
          <c:val>
            <c:numRef>
              <c:f>'LCA Sc2'!$C$65:$D$65</c:f>
              <c:numCache>
                <c:formatCode>General</c:formatCode>
                <c:ptCount val="2"/>
                <c:pt idx="0" formatCode="#,##0">
                  <c:v>0</c:v>
                </c:pt>
              </c:numCache>
            </c:numRef>
          </c:val>
          <c:extLst>
            <c:ext xmlns:c16="http://schemas.microsoft.com/office/drawing/2014/chart" uri="{C3380CC4-5D6E-409C-BE32-E72D297353CC}">
              <c16:uniqueId val="{00000002-34FD-4A65-8CB2-204645183C8B}"/>
            </c:ext>
          </c:extLst>
        </c:ser>
        <c:ser>
          <c:idx val="3"/>
          <c:order val="3"/>
          <c:tx>
            <c:strRef>
              <c:f>'LCA Sc2'!$B$66</c:f>
              <c:strCache>
                <c:ptCount val="1"/>
                <c:pt idx="0">
                  <c:v>Plastics</c:v>
                </c:pt>
              </c:strCache>
            </c:strRef>
          </c:tx>
          <c:spPr>
            <a:solidFill>
              <a:srgbClr val="FFFF00"/>
            </a:solidFill>
            <a:ln w="12700">
              <a:solidFill>
                <a:srgbClr val="000000"/>
              </a:solidFill>
              <a:prstDash val="solid"/>
            </a:ln>
          </c:spPr>
          <c:invertIfNegative val="0"/>
          <c:cat>
            <c:strRef>
              <c:f>'LCA Sc2'!$C$62:$D$62</c:f>
              <c:strCache>
                <c:ptCount val="2"/>
                <c:pt idx="0">
                  <c:v>Recycled waste</c:v>
                </c:pt>
                <c:pt idx="1">
                  <c:v>Net</c:v>
                </c:pt>
              </c:strCache>
            </c:strRef>
          </c:cat>
          <c:val>
            <c:numRef>
              <c:f>'LCA Sc2'!$C$66:$D$66</c:f>
              <c:numCache>
                <c:formatCode>General</c:formatCode>
                <c:ptCount val="2"/>
                <c:pt idx="0" formatCode="#,##0">
                  <c:v>0</c:v>
                </c:pt>
              </c:numCache>
            </c:numRef>
          </c:val>
          <c:extLst>
            <c:ext xmlns:c16="http://schemas.microsoft.com/office/drawing/2014/chart" uri="{C3380CC4-5D6E-409C-BE32-E72D297353CC}">
              <c16:uniqueId val="{00000003-34FD-4A65-8CB2-204645183C8B}"/>
            </c:ext>
          </c:extLst>
        </c:ser>
        <c:ser>
          <c:idx val="4"/>
          <c:order val="4"/>
          <c:tx>
            <c:strRef>
              <c:f>'LCA Sc2'!$B$67</c:f>
              <c:strCache>
                <c:ptCount val="1"/>
                <c:pt idx="0">
                  <c:v>Glass</c:v>
                </c:pt>
              </c:strCache>
            </c:strRef>
          </c:tx>
          <c:spPr>
            <a:solidFill>
              <a:srgbClr val="FF99CC"/>
            </a:solidFill>
            <a:ln w="12700">
              <a:solidFill>
                <a:srgbClr val="000000"/>
              </a:solidFill>
              <a:prstDash val="solid"/>
            </a:ln>
          </c:spPr>
          <c:invertIfNegative val="0"/>
          <c:cat>
            <c:strRef>
              <c:f>'LCA Sc2'!$C$62:$D$62</c:f>
              <c:strCache>
                <c:ptCount val="2"/>
                <c:pt idx="0">
                  <c:v>Recycled waste</c:v>
                </c:pt>
                <c:pt idx="1">
                  <c:v>Net</c:v>
                </c:pt>
              </c:strCache>
            </c:strRef>
          </c:cat>
          <c:val>
            <c:numRef>
              <c:f>'LCA Sc2'!$C$67:$D$67</c:f>
              <c:numCache>
                <c:formatCode>General</c:formatCode>
                <c:ptCount val="2"/>
                <c:pt idx="0" formatCode="#,##0">
                  <c:v>0</c:v>
                </c:pt>
              </c:numCache>
            </c:numRef>
          </c:val>
          <c:extLst>
            <c:ext xmlns:c16="http://schemas.microsoft.com/office/drawing/2014/chart" uri="{C3380CC4-5D6E-409C-BE32-E72D297353CC}">
              <c16:uniqueId val="{00000004-34FD-4A65-8CB2-204645183C8B}"/>
            </c:ext>
          </c:extLst>
        </c:ser>
        <c:ser>
          <c:idx val="5"/>
          <c:order val="5"/>
          <c:tx>
            <c:strRef>
              <c:f>'LCA Sc2'!$B$68</c:f>
              <c:strCache>
                <c:ptCount val="1"/>
                <c:pt idx="0">
                  <c:v>Ferrous Metals</c:v>
                </c:pt>
              </c:strCache>
            </c:strRef>
          </c:tx>
          <c:spPr>
            <a:solidFill>
              <a:srgbClr val="C0C0C0"/>
            </a:solidFill>
            <a:ln w="12700">
              <a:solidFill>
                <a:srgbClr val="000000"/>
              </a:solidFill>
              <a:prstDash val="solid"/>
            </a:ln>
          </c:spPr>
          <c:invertIfNegative val="0"/>
          <c:cat>
            <c:strRef>
              <c:f>'LCA Sc2'!$C$62:$D$62</c:f>
              <c:strCache>
                <c:ptCount val="2"/>
                <c:pt idx="0">
                  <c:v>Recycled waste</c:v>
                </c:pt>
                <c:pt idx="1">
                  <c:v>Net</c:v>
                </c:pt>
              </c:strCache>
            </c:strRef>
          </c:cat>
          <c:val>
            <c:numRef>
              <c:f>'LCA Sc2'!$C$68:$D$68</c:f>
              <c:numCache>
                <c:formatCode>General</c:formatCode>
                <c:ptCount val="2"/>
                <c:pt idx="0" formatCode="#,##0">
                  <c:v>0</c:v>
                </c:pt>
              </c:numCache>
            </c:numRef>
          </c:val>
          <c:extLst>
            <c:ext xmlns:c16="http://schemas.microsoft.com/office/drawing/2014/chart" uri="{C3380CC4-5D6E-409C-BE32-E72D297353CC}">
              <c16:uniqueId val="{00000005-34FD-4A65-8CB2-204645183C8B}"/>
            </c:ext>
          </c:extLst>
        </c:ser>
        <c:ser>
          <c:idx val="6"/>
          <c:order val="6"/>
          <c:tx>
            <c:strRef>
              <c:f>'LCA Sc2'!$B$69</c:f>
              <c:strCache>
                <c:ptCount val="1"/>
                <c:pt idx="0">
                  <c:v>Aluminium</c:v>
                </c:pt>
              </c:strCache>
            </c:strRef>
          </c:tx>
          <c:spPr>
            <a:solidFill>
              <a:srgbClr val="993366"/>
            </a:solidFill>
            <a:ln w="12700">
              <a:solidFill>
                <a:srgbClr val="000000"/>
              </a:solidFill>
              <a:prstDash val="solid"/>
            </a:ln>
          </c:spPr>
          <c:invertIfNegative val="0"/>
          <c:cat>
            <c:strRef>
              <c:f>'LCA Sc2'!$C$62:$D$62</c:f>
              <c:strCache>
                <c:ptCount val="2"/>
                <c:pt idx="0">
                  <c:v>Recycled waste</c:v>
                </c:pt>
                <c:pt idx="1">
                  <c:v>Net</c:v>
                </c:pt>
              </c:strCache>
            </c:strRef>
          </c:cat>
          <c:val>
            <c:numRef>
              <c:f>'LCA Sc2'!$C$69:$D$69</c:f>
              <c:numCache>
                <c:formatCode>General</c:formatCode>
                <c:ptCount val="2"/>
                <c:pt idx="0" formatCode="#,##0">
                  <c:v>0</c:v>
                </c:pt>
              </c:numCache>
            </c:numRef>
          </c:val>
          <c:extLst>
            <c:ext xmlns:c16="http://schemas.microsoft.com/office/drawing/2014/chart" uri="{C3380CC4-5D6E-409C-BE32-E72D297353CC}">
              <c16:uniqueId val="{00000006-34FD-4A65-8CB2-204645183C8B}"/>
            </c:ext>
          </c:extLst>
        </c:ser>
        <c:ser>
          <c:idx val="7"/>
          <c:order val="7"/>
          <c:tx>
            <c:strRef>
              <c:f>'LCA Sc2'!$B$70</c:f>
              <c:strCache>
                <c:ptCount val="1"/>
              </c:strCache>
            </c:strRef>
          </c:tx>
          <c:spPr>
            <a:solidFill>
              <a:srgbClr val="9999FF"/>
            </a:solidFill>
            <a:ln w="12700">
              <a:solidFill>
                <a:srgbClr val="000000"/>
              </a:solidFill>
              <a:prstDash val="solid"/>
            </a:ln>
          </c:spPr>
          <c:invertIfNegative val="0"/>
          <c:cat>
            <c:strRef>
              <c:f>'LCA Sc2'!$C$62:$D$62</c:f>
              <c:strCache>
                <c:ptCount val="2"/>
                <c:pt idx="0">
                  <c:v>Recycled waste</c:v>
                </c:pt>
                <c:pt idx="1">
                  <c:v>Net</c:v>
                </c:pt>
              </c:strCache>
            </c:strRef>
          </c:cat>
          <c:val>
            <c:numRef>
              <c:f>'LCA Sc2'!$C$70:$D$70</c:f>
              <c:numCache>
                <c:formatCode>General</c:formatCode>
                <c:ptCount val="2"/>
              </c:numCache>
            </c:numRef>
          </c:val>
          <c:extLst>
            <c:ext xmlns:c16="http://schemas.microsoft.com/office/drawing/2014/chart" uri="{C3380CC4-5D6E-409C-BE32-E72D297353CC}">
              <c16:uniqueId val="{00000007-34FD-4A65-8CB2-204645183C8B}"/>
            </c:ext>
          </c:extLst>
        </c:ser>
        <c:ser>
          <c:idx val="8"/>
          <c:order val="8"/>
          <c:tx>
            <c:strRef>
              <c:f>'LCA Sc2'!$B$71</c:f>
              <c:strCache>
                <c:ptCount val="1"/>
                <c:pt idx="0">
                  <c:v>Debits</c:v>
                </c:pt>
              </c:strCache>
            </c:strRef>
          </c:tx>
          <c:spPr>
            <a:noFill/>
            <a:ln w="25400">
              <a:noFill/>
            </a:ln>
          </c:spPr>
          <c:invertIfNegative val="0"/>
          <c:cat>
            <c:strRef>
              <c:f>'LCA Sc2'!$C$62:$D$62</c:f>
              <c:strCache>
                <c:ptCount val="2"/>
                <c:pt idx="0">
                  <c:v>Recycled waste</c:v>
                </c:pt>
                <c:pt idx="1">
                  <c:v>Net</c:v>
                </c:pt>
              </c:strCache>
            </c:strRef>
          </c:cat>
          <c:val>
            <c:numRef>
              <c:f>'LCA Sc2'!$C$71:$D$71</c:f>
              <c:numCache>
                <c:formatCode>#,##0</c:formatCode>
                <c:ptCount val="2"/>
              </c:numCache>
            </c:numRef>
          </c:val>
          <c:extLst>
            <c:ext xmlns:c16="http://schemas.microsoft.com/office/drawing/2014/chart" uri="{C3380CC4-5D6E-409C-BE32-E72D297353CC}">
              <c16:uniqueId val="{00000008-34FD-4A65-8CB2-204645183C8B}"/>
            </c:ext>
          </c:extLst>
        </c:ser>
        <c:ser>
          <c:idx val="9"/>
          <c:order val="9"/>
          <c:tx>
            <c:strRef>
              <c:f>'LCA Sc2'!$B$72</c:f>
              <c:strCache>
                <c:ptCount val="1"/>
                <c:pt idx="0">
                  <c:v>Food waste</c:v>
                </c:pt>
              </c:strCache>
            </c:strRef>
          </c:tx>
          <c:spPr>
            <a:pattFill prst="wdDn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Sc2'!$C$72:$D$72</c:f>
              <c:numCache>
                <c:formatCode>General</c:formatCode>
                <c:ptCount val="2"/>
                <c:pt idx="0" formatCode="#,##0">
                  <c:v>0</c:v>
                </c:pt>
              </c:numCache>
            </c:numRef>
          </c:val>
          <c:extLst>
            <c:ext xmlns:c16="http://schemas.microsoft.com/office/drawing/2014/chart" uri="{C3380CC4-5D6E-409C-BE32-E72D297353CC}">
              <c16:uniqueId val="{00000009-34FD-4A65-8CB2-204645183C8B}"/>
            </c:ext>
          </c:extLst>
        </c:ser>
        <c:ser>
          <c:idx val="10"/>
          <c:order val="10"/>
          <c:tx>
            <c:strRef>
              <c:f>'LCA Sc2'!$B$73</c:f>
              <c:strCache>
                <c:ptCount val="1"/>
                <c:pt idx="0">
                  <c:v>Garden and Park waste</c:v>
                </c:pt>
              </c:strCache>
            </c:strRef>
          </c:tx>
          <c:spPr>
            <a:pattFill prst="wdUpDiag">
              <a:fgClr>
                <a:srgbClr xmlns:mc="http://schemas.openxmlformats.org/markup-compatibility/2006" xmlns:a14="http://schemas.microsoft.com/office/drawing/2010/main" val="000080" mc:Ignorable="a14" a14:legacySpreadsheetColorIndex="3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Sc2'!$C$73:$D$73</c:f>
              <c:numCache>
                <c:formatCode>General</c:formatCode>
                <c:ptCount val="2"/>
                <c:pt idx="0" formatCode="#,##0">
                  <c:v>0</c:v>
                </c:pt>
              </c:numCache>
            </c:numRef>
          </c:val>
          <c:extLst>
            <c:ext xmlns:c16="http://schemas.microsoft.com/office/drawing/2014/chart" uri="{C3380CC4-5D6E-409C-BE32-E72D297353CC}">
              <c16:uniqueId val="{0000000A-34FD-4A65-8CB2-204645183C8B}"/>
            </c:ext>
          </c:extLst>
        </c:ser>
        <c:ser>
          <c:idx val="11"/>
          <c:order val="11"/>
          <c:tx>
            <c:strRef>
              <c:f>'LCA Sc2'!$B$74</c:f>
              <c:strCache>
                <c:ptCount val="1"/>
                <c:pt idx="0">
                  <c:v>Paper, cardboard</c:v>
                </c:pt>
              </c:strCache>
            </c:strRef>
          </c:tx>
          <c:spPr>
            <a:pattFill prst="wdDnDiag">
              <a:fgClr>
                <a:srgbClr xmlns:mc="http://schemas.openxmlformats.org/markup-compatibility/2006" xmlns:a14="http://schemas.microsoft.com/office/drawing/2010/main" val="CC99FF" mc:Ignorable="a14" a14:legacySpreadsheetColorIndex="46"/>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Sc2'!$C$74:$D$74</c:f>
              <c:numCache>
                <c:formatCode>General</c:formatCode>
                <c:ptCount val="2"/>
                <c:pt idx="0" formatCode="#,##0">
                  <c:v>0</c:v>
                </c:pt>
              </c:numCache>
            </c:numRef>
          </c:val>
          <c:extLst>
            <c:ext xmlns:c16="http://schemas.microsoft.com/office/drawing/2014/chart" uri="{C3380CC4-5D6E-409C-BE32-E72D297353CC}">
              <c16:uniqueId val="{0000000B-34FD-4A65-8CB2-204645183C8B}"/>
            </c:ext>
          </c:extLst>
        </c:ser>
        <c:ser>
          <c:idx val="12"/>
          <c:order val="12"/>
          <c:tx>
            <c:strRef>
              <c:f>'LCA Sc2'!$B$75</c:f>
              <c:strCache>
                <c:ptCount val="1"/>
                <c:pt idx="0">
                  <c:v>Plastics</c:v>
                </c:pt>
              </c:strCache>
            </c:strRef>
          </c:tx>
          <c:spPr>
            <a:pattFill prst="wdUpDiag">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Sc2'!$C$75:$D$75</c:f>
              <c:numCache>
                <c:formatCode>General</c:formatCode>
                <c:ptCount val="2"/>
                <c:pt idx="0" formatCode="#,##0">
                  <c:v>0</c:v>
                </c:pt>
              </c:numCache>
            </c:numRef>
          </c:val>
          <c:extLst>
            <c:ext xmlns:c16="http://schemas.microsoft.com/office/drawing/2014/chart" uri="{C3380CC4-5D6E-409C-BE32-E72D297353CC}">
              <c16:uniqueId val="{0000000C-34FD-4A65-8CB2-204645183C8B}"/>
            </c:ext>
          </c:extLst>
        </c:ser>
        <c:ser>
          <c:idx val="13"/>
          <c:order val="13"/>
          <c:tx>
            <c:strRef>
              <c:f>'LCA Sc2'!$B$76</c:f>
              <c:strCache>
                <c:ptCount val="1"/>
                <c:pt idx="0">
                  <c:v>Glass</c:v>
                </c:pt>
              </c:strCache>
            </c:strRef>
          </c:tx>
          <c:spPr>
            <a:pattFill prst="wdDn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Sc2'!$C$76:$D$76</c:f>
              <c:numCache>
                <c:formatCode>General</c:formatCode>
                <c:ptCount val="2"/>
                <c:pt idx="0" formatCode="#,##0">
                  <c:v>0</c:v>
                </c:pt>
              </c:numCache>
            </c:numRef>
          </c:val>
          <c:extLst>
            <c:ext xmlns:c16="http://schemas.microsoft.com/office/drawing/2014/chart" uri="{C3380CC4-5D6E-409C-BE32-E72D297353CC}">
              <c16:uniqueId val="{0000000D-34FD-4A65-8CB2-204645183C8B}"/>
            </c:ext>
          </c:extLst>
        </c:ser>
        <c:ser>
          <c:idx val="14"/>
          <c:order val="14"/>
          <c:tx>
            <c:strRef>
              <c:f>'LCA Sc2'!$B$77</c:f>
              <c:strCache>
                <c:ptCount val="1"/>
                <c:pt idx="0">
                  <c:v>Ferrous Metals</c:v>
                </c:pt>
              </c:strCache>
            </c:strRef>
          </c:tx>
          <c:spPr>
            <a:pattFill prst="wdUp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Sc2'!$C$77:$D$77</c:f>
              <c:numCache>
                <c:formatCode>General</c:formatCode>
                <c:ptCount val="2"/>
                <c:pt idx="0" formatCode="#,##0">
                  <c:v>0</c:v>
                </c:pt>
              </c:numCache>
            </c:numRef>
          </c:val>
          <c:extLst>
            <c:ext xmlns:c16="http://schemas.microsoft.com/office/drawing/2014/chart" uri="{C3380CC4-5D6E-409C-BE32-E72D297353CC}">
              <c16:uniqueId val="{0000000E-34FD-4A65-8CB2-204645183C8B}"/>
            </c:ext>
          </c:extLst>
        </c:ser>
        <c:ser>
          <c:idx val="15"/>
          <c:order val="15"/>
          <c:tx>
            <c:strRef>
              <c:f>'LCA Sc2'!$B$78</c:f>
              <c:strCache>
                <c:ptCount val="1"/>
                <c:pt idx="0">
                  <c:v>Aluminium</c:v>
                </c:pt>
              </c:strCache>
            </c:strRef>
          </c:tx>
          <c:spPr>
            <a:pattFill prst="wd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Sc2'!$C$78:$D$78</c:f>
              <c:numCache>
                <c:formatCode>General</c:formatCode>
                <c:ptCount val="2"/>
                <c:pt idx="0" formatCode="#,##0">
                  <c:v>0</c:v>
                </c:pt>
              </c:numCache>
            </c:numRef>
          </c:val>
          <c:extLst>
            <c:ext xmlns:c16="http://schemas.microsoft.com/office/drawing/2014/chart" uri="{C3380CC4-5D6E-409C-BE32-E72D297353CC}">
              <c16:uniqueId val="{0000000F-34FD-4A65-8CB2-204645183C8B}"/>
            </c:ext>
          </c:extLst>
        </c:ser>
        <c:ser>
          <c:idx val="16"/>
          <c:order val="16"/>
          <c:tx>
            <c:strRef>
              <c:f>'LCA Sc2'!$B$79</c:f>
              <c:strCache>
                <c:ptCount val="1"/>
              </c:strCache>
            </c:strRef>
          </c:tx>
          <c:spPr>
            <a:pattFill prst="wdUpDiag">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Sc2'!$C$62:$D$62</c:f>
              <c:strCache>
                <c:ptCount val="2"/>
                <c:pt idx="0">
                  <c:v>Recycled waste</c:v>
                </c:pt>
                <c:pt idx="1">
                  <c:v>Net</c:v>
                </c:pt>
              </c:strCache>
            </c:strRef>
          </c:cat>
          <c:val>
            <c:numRef>
              <c:f>'LCA Sc2'!$C$79:$D$79</c:f>
              <c:numCache>
                <c:formatCode>General</c:formatCode>
                <c:ptCount val="2"/>
              </c:numCache>
            </c:numRef>
          </c:val>
          <c:extLst>
            <c:ext xmlns:c16="http://schemas.microsoft.com/office/drawing/2014/chart" uri="{C3380CC4-5D6E-409C-BE32-E72D297353CC}">
              <c16:uniqueId val="{00000010-34FD-4A65-8CB2-204645183C8B}"/>
            </c:ext>
          </c:extLst>
        </c:ser>
        <c:ser>
          <c:idx val="17"/>
          <c:order val="17"/>
          <c:tx>
            <c:strRef>
              <c:f>'LCA Sc2'!$B$80</c:f>
              <c:strCache>
                <c:ptCount val="1"/>
                <c:pt idx="0">
                  <c:v>Credits</c:v>
                </c:pt>
              </c:strCache>
            </c:strRef>
          </c:tx>
          <c:spPr>
            <a:noFill/>
            <a:ln w="25400">
              <a:noFill/>
            </a:ln>
          </c:spPr>
          <c:invertIfNegative val="0"/>
          <c:cat>
            <c:strRef>
              <c:f>'LCA Sc2'!$C$62:$D$62</c:f>
              <c:strCache>
                <c:ptCount val="2"/>
                <c:pt idx="0">
                  <c:v>Recycled waste</c:v>
                </c:pt>
                <c:pt idx="1">
                  <c:v>Net</c:v>
                </c:pt>
              </c:strCache>
            </c:strRef>
          </c:cat>
          <c:val>
            <c:numRef>
              <c:f>'LCA Sc2'!$C$80:$D$80</c:f>
              <c:numCache>
                <c:formatCode>#,##0</c:formatCode>
                <c:ptCount val="2"/>
              </c:numCache>
            </c:numRef>
          </c:val>
          <c:extLst>
            <c:ext xmlns:c16="http://schemas.microsoft.com/office/drawing/2014/chart" uri="{C3380CC4-5D6E-409C-BE32-E72D297353CC}">
              <c16:uniqueId val="{00000011-34FD-4A65-8CB2-204645183C8B}"/>
            </c:ext>
          </c:extLst>
        </c:ser>
        <c:ser>
          <c:idx val="18"/>
          <c:order val="18"/>
          <c:tx>
            <c:strRef>
              <c:f>'LCA Sc2'!$B$81</c:f>
              <c:strCache>
                <c:ptCount val="1"/>
                <c:pt idx="0">
                  <c:v>Net</c:v>
                </c:pt>
              </c:strCache>
            </c:strRef>
          </c:tx>
          <c:spPr>
            <a:solidFill>
              <a:srgbClr val="0000FF"/>
            </a:solidFill>
            <a:ln w="12700">
              <a:solidFill>
                <a:srgbClr val="000000"/>
              </a:solidFill>
              <a:prstDash val="solid"/>
            </a:ln>
          </c:spPr>
          <c:invertIfNegative val="0"/>
          <c:cat>
            <c:strRef>
              <c:f>'LCA Sc2'!$C$62:$D$62</c:f>
              <c:strCache>
                <c:ptCount val="2"/>
                <c:pt idx="0">
                  <c:v>Recycled waste</c:v>
                </c:pt>
                <c:pt idx="1">
                  <c:v>Net</c:v>
                </c:pt>
              </c:strCache>
            </c:strRef>
          </c:cat>
          <c:val>
            <c:numRef>
              <c:f>'LCA Sc2'!$C$81:$D$81</c:f>
              <c:numCache>
                <c:formatCode>#,##0</c:formatCode>
                <c:ptCount val="2"/>
                <c:pt idx="1">
                  <c:v>0</c:v>
                </c:pt>
              </c:numCache>
            </c:numRef>
          </c:val>
          <c:extLst>
            <c:ext xmlns:c16="http://schemas.microsoft.com/office/drawing/2014/chart" uri="{C3380CC4-5D6E-409C-BE32-E72D297353CC}">
              <c16:uniqueId val="{00000012-34FD-4A65-8CB2-204645183C8B}"/>
            </c:ext>
          </c:extLst>
        </c:ser>
        <c:dLbls>
          <c:showLegendKey val="0"/>
          <c:showVal val="0"/>
          <c:showCatName val="0"/>
          <c:showSerName val="0"/>
          <c:showPercent val="0"/>
          <c:showBubbleSize val="0"/>
        </c:dLbls>
        <c:gapWidth val="100"/>
        <c:overlap val="100"/>
        <c:axId val="560896792"/>
        <c:axId val="1"/>
      </c:barChart>
      <c:catAx>
        <c:axId val="5608967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tonne CO2e/yr</a:t>
                </a:r>
              </a:p>
            </c:rich>
          </c:tx>
          <c:layout>
            <c:manualLayout>
              <c:xMode val="edge"/>
              <c:yMode val="edge"/>
              <c:x val="3.5377399231416785E-2"/>
              <c:y val="0.348973607038123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0896792"/>
        <c:crosses val="autoZero"/>
        <c:crossBetween val="between"/>
      </c:valAx>
      <c:spPr>
        <a:noFill/>
        <a:ln w="12700">
          <a:solidFill>
            <a:srgbClr val="808080"/>
          </a:solidFill>
          <a:prstDash val="solid"/>
        </a:ln>
      </c:spPr>
    </c:plotArea>
    <c:legend>
      <c:legendPos val="r"/>
      <c:legendEntry>
        <c:idx val="0"/>
        <c:txPr>
          <a:bodyPr/>
          <a:lstStyle/>
          <a:p>
            <a:pPr>
              <a:defRPr sz="755" b="1" i="0" u="none" strike="noStrike" baseline="0">
                <a:solidFill>
                  <a:srgbClr val="000000"/>
                </a:solidFill>
                <a:latin typeface="Arial"/>
                <a:ea typeface="Arial"/>
                <a:cs typeface="Arial"/>
              </a:defRPr>
            </a:pPr>
            <a:endParaRPr lang="de-DE"/>
          </a:p>
        </c:txPr>
      </c:legendEntry>
      <c:legendEntry>
        <c:idx val="1"/>
        <c:txPr>
          <a:bodyPr/>
          <a:lstStyle/>
          <a:p>
            <a:pPr>
              <a:defRPr sz="755" b="1" i="0" u="none" strike="noStrike" baseline="0">
                <a:solidFill>
                  <a:srgbClr val="000000"/>
                </a:solidFill>
                <a:latin typeface="Arial"/>
                <a:ea typeface="Arial"/>
                <a:cs typeface="Arial"/>
              </a:defRPr>
            </a:pPr>
            <a:endParaRPr lang="de-DE"/>
          </a:p>
        </c:txPr>
      </c:legendEntry>
      <c:legendEntry>
        <c:idx val="2"/>
        <c:delete val="1"/>
      </c:legendEntry>
      <c:legendEntry>
        <c:idx val="4"/>
        <c:txPr>
          <a:bodyPr/>
          <a:lstStyle/>
          <a:p>
            <a:pPr>
              <a:defRPr sz="755" b="0" i="0" u="none" strike="noStrike" baseline="0">
                <a:solidFill>
                  <a:srgbClr val="000000"/>
                </a:solidFill>
                <a:latin typeface="Arial"/>
                <a:ea typeface="Arial"/>
                <a:cs typeface="Arial"/>
              </a:defRPr>
            </a:pPr>
            <a:endParaRPr lang="de-DE"/>
          </a:p>
        </c:txPr>
      </c:legendEntry>
      <c:legendEntry>
        <c:idx val="5"/>
        <c:txPr>
          <a:bodyPr/>
          <a:lstStyle/>
          <a:p>
            <a:pPr>
              <a:defRPr sz="755" b="0" i="0" u="none" strike="noStrike" baseline="0">
                <a:solidFill>
                  <a:srgbClr val="000000"/>
                </a:solidFill>
                <a:latin typeface="Arial"/>
                <a:ea typeface="Arial"/>
                <a:cs typeface="Arial"/>
              </a:defRPr>
            </a:pPr>
            <a:endParaRPr lang="de-DE"/>
          </a:p>
        </c:txPr>
      </c:legendEntry>
      <c:legendEntry>
        <c:idx val="6"/>
        <c:txPr>
          <a:bodyPr/>
          <a:lstStyle/>
          <a:p>
            <a:pPr>
              <a:defRPr sz="755" b="0" i="0" u="none" strike="noStrike" baseline="0">
                <a:solidFill>
                  <a:srgbClr val="000000"/>
                </a:solidFill>
                <a:latin typeface="Arial"/>
                <a:ea typeface="Arial"/>
                <a:cs typeface="Arial"/>
              </a:defRPr>
            </a:pPr>
            <a:endParaRPr lang="de-DE"/>
          </a:p>
        </c:txPr>
      </c:legendEntry>
      <c:legendEntry>
        <c:idx val="7"/>
        <c:txPr>
          <a:bodyPr/>
          <a:lstStyle/>
          <a:p>
            <a:pPr>
              <a:defRPr sz="755" b="0" i="0" u="none" strike="noStrike" baseline="0">
                <a:solidFill>
                  <a:srgbClr val="000000"/>
                </a:solidFill>
                <a:latin typeface="Arial"/>
                <a:ea typeface="Arial"/>
                <a:cs typeface="Arial"/>
              </a:defRPr>
            </a:pPr>
            <a:endParaRPr lang="de-DE"/>
          </a:p>
        </c:txPr>
      </c:legendEntry>
      <c:legendEntry>
        <c:idx val="9"/>
        <c:txPr>
          <a:bodyPr/>
          <a:lstStyle/>
          <a:p>
            <a:pPr>
              <a:defRPr sz="755" b="0" i="0" u="none" strike="noStrike" baseline="0">
                <a:solidFill>
                  <a:srgbClr val="000000"/>
                </a:solidFill>
                <a:latin typeface="Arial"/>
                <a:ea typeface="Arial"/>
                <a:cs typeface="Arial"/>
              </a:defRPr>
            </a:pPr>
            <a:endParaRPr lang="de-DE"/>
          </a:p>
        </c:txPr>
      </c:legendEntry>
      <c:legendEntry>
        <c:idx val="10"/>
        <c:txPr>
          <a:bodyPr/>
          <a:lstStyle/>
          <a:p>
            <a:pPr>
              <a:defRPr sz="755" b="1" i="0" u="none" strike="noStrike" baseline="0">
                <a:solidFill>
                  <a:srgbClr val="000000"/>
                </a:solidFill>
                <a:latin typeface="Arial"/>
                <a:ea typeface="Arial"/>
                <a:cs typeface="Arial"/>
              </a:defRPr>
            </a:pPr>
            <a:endParaRPr lang="de-DE"/>
          </a:p>
        </c:txPr>
      </c:legendEntry>
      <c:legendEntry>
        <c:idx val="11"/>
        <c:delete val="1"/>
      </c:legendEntry>
      <c:legendEntry>
        <c:idx val="12"/>
        <c:txPr>
          <a:bodyPr/>
          <a:lstStyle/>
          <a:p>
            <a:pPr>
              <a:defRPr sz="755" b="0" i="0" u="none" strike="noStrike" baseline="0">
                <a:solidFill>
                  <a:srgbClr val="000000"/>
                </a:solidFill>
                <a:latin typeface="Arial"/>
                <a:ea typeface="Arial"/>
                <a:cs typeface="Arial"/>
              </a:defRPr>
            </a:pPr>
            <a:endParaRPr lang="de-DE"/>
          </a:p>
        </c:txPr>
      </c:legendEntry>
      <c:legendEntry>
        <c:idx val="13"/>
        <c:txPr>
          <a:bodyPr/>
          <a:lstStyle/>
          <a:p>
            <a:pPr>
              <a:defRPr sz="755" b="0" i="0" u="none" strike="noStrike" baseline="0">
                <a:solidFill>
                  <a:srgbClr val="000000"/>
                </a:solidFill>
                <a:latin typeface="Arial"/>
                <a:ea typeface="Arial"/>
                <a:cs typeface="Arial"/>
              </a:defRPr>
            </a:pPr>
            <a:endParaRPr lang="de-DE"/>
          </a:p>
        </c:txPr>
      </c:legendEntry>
      <c:layout>
        <c:manualLayout>
          <c:xMode val="edge"/>
          <c:yMode val="edge"/>
          <c:x val="0.67452907867901346"/>
          <c:y val="1.466275659824047E-2"/>
          <c:w val="0.31367960651856219"/>
          <c:h val="0.9765395894428152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GHG emissions</a:t>
            </a:r>
          </a:p>
        </c:rich>
      </c:tx>
      <c:layout>
        <c:manualLayout>
          <c:xMode val="edge"/>
          <c:yMode val="edge"/>
          <c:x val="0.40000078914297099"/>
          <c:y val="1.358695652173913E-2"/>
        </c:manualLayout>
      </c:layout>
      <c:overlay val="0"/>
      <c:spPr>
        <a:noFill/>
        <a:ln w="25400">
          <a:noFill/>
        </a:ln>
      </c:spPr>
    </c:title>
    <c:autoTitleDeleted val="0"/>
    <c:plotArea>
      <c:layout>
        <c:manualLayout>
          <c:layoutTarget val="inner"/>
          <c:xMode val="edge"/>
          <c:yMode val="edge"/>
          <c:x val="0.18585895253107743"/>
          <c:y val="8.9673913043478257E-2"/>
          <c:w val="0.78181972423398882"/>
          <c:h val="0.79619565217391308"/>
        </c:manualLayout>
      </c:layout>
      <c:barChart>
        <c:barDir val="col"/>
        <c:grouping val="clustered"/>
        <c:varyColors val="0"/>
        <c:ser>
          <c:idx val="0"/>
          <c:order val="0"/>
          <c:tx>
            <c:strRef>
              <c:f>'LCA Sc2'!$G$54</c:f>
              <c:strCache>
                <c:ptCount val="1"/>
                <c:pt idx="0">
                  <c:v> Debits</c:v>
                </c:pt>
              </c:strCache>
            </c:strRef>
          </c:tx>
          <c:spPr>
            <a:solidFill>
              <a:srgbClr val="FFCC99"/>
            </a:solidFill>
            <a:ln w="12700">
              <a:solidFill>
                <a:srgbClr val="000000"/>
              </a:solidFill>
              <a:prstDash val="solid"/>
            </a:ln>
          </c:spPr>
          <c:invertIfNegative val="0"/>
          <c:cat>
            <c:strRef>
              <c:f>'LCA Sc2'!$H$53:$J$53</c:f>
              <c:strCache>
                <c:ptCount val="3"/>
                <c:pt idx="0">
                  <c:v>Recycled waste</c:v>
                </c:pt>
                <c:pt idx="1">
                  <c:v>Disposed of waste</c:v>
                </c:pt>
                <c:pt idx="2">
                  <c:v>Total MSW</c:v>
                </c:pt>
              </c:strCache>
            </c:strRef>
          </c:cat>
          <c:val>
            <c:numRef>
              <c:f>'LCA Sc2'!$H$54:$J$54</c:f>
              <c:numCache>
                <c:formatCode>#,##0</c:formatCode>
                <c:ptCount val="3"/>
                <c:pt idx="0">
                  <c:v>0</c:v>
                </c:pt>
                <c:pt idx="1">
                  <c:v>0</c:v>
                </c:pt>
                <c:pt idx="2">
                  <c:v>0</c:v>
                </c:pt>
              </c:numCache>
            </c:numRef>
          </c:val>
          <c:extLst>
            <c:ext xmlns:c16="http://schemas.microsoft.com/office/drawing/2014/chart" uri="{C3380CC4-5D6E-409C-BE32-E72D297353CC}">
              <c16:uniqueId val="{00000000-93C5-4D37-A805-ECDB2F76306E}"/>
            </c:ext>
          </c:extLst>
        </c:ser>
        <c:ser>
          <c:idx val="1"/>
          <c:order val="1"/>
          <c:tx>
            <c:strRef>
              <c:f>'LCA Sc2'!$G$55</c:f>
              <c:strCache>
                <c:ptCount val="1"/>
                <c:pt idx="0">
                  <c:v> Credits</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cat>
            <c:strRef>
              <c:f>'LCA Sc2'!$H$53:$J$53</c:f>
              <c:strCache>
                <c:ptCount val="3"/>
                <c:pt idx="0">
                  <c:v>Recycled waste</c:v>
                </c:pt>
                <c:pt idx="1">
                  <c:v>Disposed of waste</c:v>
                </c:pt>
                <c:pt idx="2">
                  <c:v>Total MSW</c:v>
                </c:pt>
              </c:strCache>
            </c:strRef>
          </c:cat>
          <c:val>
            <c:numRef>
              <c:f>'LCA Sc2'!$H$55:$J$55</c:f>
              <c:numCache>
                <c:formatCode>#,##0</c:formatCode>
                <c:ptCount val="3"/>
                <c:pt idx="0">
                  <c:v>0</c:v>
                </c:pt>
                <c:pt idx="1">
                  <c:v>0</c:v>
                </c:pt>
                <c:pt idx="2">
                  <c:v>0</c:v>
                </c:pt>
              </c:numCache>
            </c:numRef>
          </c:val>
          <c:extLst>
            <c:ext xmlns:c16="http://schemas.microsoft.com/office/drawing/2014/chart" uri="{C3380CC4-5D6E-409C-BE32-E72D297353CC}">
              <c16:uniqueId val="{00000001-93C5-4D37-A805-ECDB2F76306E}"/>
            </c:ext>
          </c:extLst>
        </c:ser>
        <c:ser>
          <c:idx val="2"/>
          <c:order val="2"/>
          <c:tx>
            <c:strRef>
              <c:f>'LCA Sc2'!$G$56</c:f>
              <c:strCache>
                <c:ptCount val="1"/>
                <c:pt idx="0">
                  <c:v> Net</c:v>
                </c:pt>
              </c:strCache>
            </c:strRef>
          </c:tx>
          <c:spPr>
            <a:solidFill>
              <a:srgbClr val="0000FF"/>
            </a:solidFill>
            <a:ln w="12700">
              <a:solidFill>
                <a:srgbClr val="000000"/>
              </a:solidFill>
              <a:prstDash val="solid"/>
            </a:ln>
          </c:spPr>
          <c:invertIfNegative val="0"/>
          <c:cat>
            <c:strRef>
              <c:f>'LCA Sc2'!$H$53:$J$53</c:f>
              <c:strCache>
                <c:ptCount val="3"/>
                <c:pt idx="0">
                  <c:v>Recycled waste</c:v>
                </c:pt>
                <c:pt idx="1">
                  <c:v>Disposed of waste</c:v>
                </c:pt>
                <c:pt idx="2">
                  <c:v>Total MSW</c:v>
                </c:pt>
              </c:strCache>
            </c:strRef>
          </c:cat>
          <c:val>
            <c:numRef>
              <c:f>'LCA Sc2'!$H$56:$J$56</c:f>
              <c:numCache>
                <c:formatCode>#,##0</c:formatCode>
                <c:ptCount val="3"/>
                <c:pt idx="0">
                  <c:v>0</c:v>
                </c:pt>
                <c:pt idx="1">
                  <c:v>0</c:v>
                </c:pt>
                <c:pt idx="2">
                  <c:v>0</c:v>
                </c:pt>
              </c:numCache>
            </c:numRef>
          </c:val>
          <c:extLst>
            <c:ext xmlns:c16="http://schemas.microsoft.com/office/drawing/2014/chart" uri="{C3380CC4-5D6E-409C-BE32-E72D297353CC}">
              <c16:uniqueId val="{00000002-93C5-4D37-A805-ECDB2F76306E}"/>
            </c:ext>
          </c:extLst>
        </c:ser>
        <c:dLbls>
          <c:showLegendKey val="0"/>
          <c:showVal val="0"/>
          <c:showCatName val="0"/>
          <c:showSerName val="0"/>
          <c:showPercent val="0"/>
          <c:showBubbleSize val="0"/>
        </c:dLbls>
        <c:gapWidth val="100"/>
        <c:axId val="562546704"/>
        <c:axId val="1"/>
      </c:barChart>
      <c:catAx>
        <c:axId val="5625467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tonne CO2e/yr</a:t>
                </a:r>
              </a:p>
            </c:rich>
          </c:tx>
          <c:layout>
            <c:manualLayout>
              <c:xMode val="edge"/>
              <c:yMode val="edge"/>
              <c:x val="1.0101030028862904E-2"/>
              <c:y val="0.3369565217391304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2546704"/>
        <c:crosses val="autoZero"/>
        <c:crossBetween val="between"/>
      </c:valAx>
      <c:spPr>
        <a:noFill/>
        <a:ln w="3175">
          <a:solidFill>
            <a:srgbClr val="000000"/>
          </a:solidFill>
          <a:prstDash val="solid"/>
        </a:ln>
      </c:spPr>
    </c:plotArea>
    <c:legend>
      <c:legendPos val="r"/>
      <c:layout>
        <c:manualLayout>
          <c:xMode val="edge"/>
          <c:yMode val="edge"/>
          <c:x val="0.29994603128915376"/>
          <c:y val="9.9271280790372604E-2"/>
          <c:w val="0.19595998255994035"/>
          <c:h val="0.1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disposal</a:t>
            </a:r>
          </a:p>
        </c:rich>
      </c:tx>
      <c:layout>
        <c:manualLayout>
          <c:xMode val="edge"/>
          <c:yMode val="edge"/>
          <c:x val="0.28634392030036859"/>
          <c:y val="1.3927576601671309E-2"/>
        </c:manualLayout>
      </c:layout>
      <c:overlay val="0"/>
      <c:spPr>
        <a:noFill/>
        <a:ln w="25400">
          <a:noFill/>
        </a:ln>
      </c:spPr>
    </c:title>
    <c:autoTitleDeleted val="0"/>
    <c:plotArea>
      <c:layout>
        <c:manualLayout>
          <c:layoutTarget val="inner"/>
          <c:xMode val="edge"/>
          <c:yMode val="edge"/>
          <c:x val="0.2136566174548904"/>
          <c:y val="0.10863509749303621"/>
          <c:w val="0.50440582883680307"/>
          <c:h val="0.77158774373259054"/>
        </c:manualLayout>
      </c:layout>
      <c:barChart>
        <c:barDir val="col"/>
        <c:grouping val="stacked"/>
        <c:varyColors val="0"/>
        <c:ser>
          <c:idx val="0"/>
          <c:order val="0"/>
          <c:tx>
            <c:strRef>
              <c:f>'LCA Sc2'!$K$63</c:f>
              <c:strCache>
                <c:ptCount val="1"/>
                <c:pt idx="0">
                  <c:v>Scattered</c:v>
                </c:pt>
              </c:strCache>
            </c:strRef>
          </c:tx>
          <c:spPr>
            <a:solidFill>
              <a:srgbClr val="FFFFFF"/>
            </a:solidFill>
            <a:ln w="12700">
              <a:solidFill>
                <a:srgbClr val="000000"/>
              </a:solidFill>
              <a:prstDash val="solid"/>
            </a:ln>
          </c:spPr>
          <c:invertIfNegative val="0"/>
          <c:cat>
            <c:strRef>
              <c:f>'LCA Sc2'!$L$62:$M$62</c:f>
              <c:strCache>
                <c:ptCount val="2"/>
                <c:pt idx="0">
                  <c:v>Disposed of waste</c:v>
                </c:pt>
                <c:pt idx="1">
                  <c:v>Net</c:v>
                </c:pt>
              </c:strCache>
            </c:strRef>
          </c:cat>
          <c:val>
            <c:numRef>
              <c:f>'LCA Sc2'!$L$63:$M$63</c:f>
              <c:numCache>
                <c:formatCode>General</c:formatCode>
                <c:ptCount val="2"/>
                <c:pt idx="0" formatCode="#,##0">
                  <c:v>0</c:v>
                </c:pt>
              </c:numCache>
            </c:numRef>
          </c:val>
          <c:extLst>
            <c:ext xmlns:c16="http://schemas.microsoft.com/office/drawing/2014/chart" uri="{C3380CC4-5D6E-409C-BE32-E72D297353CC}">
              <c16:uniqueId val="{00000000-B15F-4987-9914-8F3A7B050A69}"/>
            </c:ext>
          </c:extLst>
        </c:ser>
        <c:ser>
          <c:idx val="1"/>
          <c:order val="1"/>
          <c:tx>
            <c:strRef>
              <c:f>'LCA Sc2'!$K$64</c:f>
              <c:strCache>
                <c:ptCount val="1"/>
                <c:pt idx="0">
                  <c:v>Burned-open</c:v>
                </c:pt>
              </c:strCache>
            </c:strRef>
          </c:tx>
          <c:spPr>
            <a:solidFill>
              <a:srgbClr val="FF8080"/>
            </a:solidFill>
            <a:ln w="12700">
              <a:solidFill>
                <a:srgbClr val="000000"/>
              </a:solidFill>
              <a:prstDash val="solid"/>
            </a:ln>
          </c:spPr>
          <c:invertIfNegative val="0"/>
          <c:cat>
            <c:strRef>
              <c:f>'LCA Sc2'!$L$62:$M$62</c:f>
              <c:strCache>
                <c:ptCount val="2"/>
                <c:pt idx="0">
                  <c:v>Disposed of waste</c:v>
                </c:pt>
                <c:pt idx="1">
                  <c:v>Net</c:v>
                </c:pt>
              </c:strCache>
            </c:strRef>
          </c:cat>
          <c:val>
            <c:numRef>
              <c:f>'LCA Sc2'!$L$64:$M$64</c:f>
              <c:numCache>
                <c:formatCode>General</c:formatCode>
                <c:ptCount val="2"/>
                <c:pt idx="0" formatCode="#,##0">
                  <c:v>0</c:v>
                </c:pt>
              </c:numCache>
            </c:numRef>
          </c:val>
          <c:extLst>
            <c:ext xmlns:c16="http://schemas.microsoft.com/office/drawing/2014/chart" uri="{C3380CC4-5D6E-409C-BE32-E72D297353CC}">
              <c16:uniqueId val="{00000001-B15F-4987-9914-8F3A7B050A69}"/>
            </c:ext>
          </c:extLst>
        </c:ser>
        <c:ser>
          <c:idx val="2"/>
          <c:order val="2"/>
          <c:tx>
            <c:strRef>
              <c:f>'LCA Sc2'!$K$65</c:f>
              <c:strCache>
                <c:ptCount val="1"/>
                <c:pt idx="0">
                  <c:v>Wild dump</c:v>
                </c:pt>
              </c:strCache>
            </c:strRef>
          </c:tx>
          <c:spPr>
            <a:solidFill>
              <a:srgbClr val="993300"/>
            </a:solidFill>
            <a:ln w="12700">
              <a:solidFill>
                <a:srgbClr val="000000"/>
              </a:solidFill>
              <a:prstDash val="solid"/>
            </a:ln>
          </c:spPr>
          <c:invertIfNegative val="0"/>
          <c:cat>
            <c:strRef>
              <c:f>'LCA Sc2'!$L$62:$M$62</c:f>
              <c:strCache>
                <c:ptCount val="2"/>
                <c:pt idx="0">
                  <c:v>Disposed of waste</c:v>
                </c:pt>
                <c:pt idx="1">
                  <c:v>Net</c:v>
                </c:pt>
              </c:strCache>
            </c:strRef>
          </c:cat>
          <c:val>
            <c:numRef>
              <c:f>'LCA Sc2'!$L$65:$M$65</c:f>
              <c:numCache>
                <c:formatCode>General</c:formatCode>
                <c:ptCount val="2"/>
                <c:pt idx="0" formatCode="#,##0">
                  <c:v>0</c:v>
                </c:pt>
              </c:numCache>
            </c:numRef>
          </c:val>
          <c:extLst>
            <c:ext xmlns:c16="http://schemas.microsoft.com/office/drawing/2014/chart" uri="{C3380CC4-5D6E-409C-BE32-E72D297353CC}">
              <c16:uniqueId val="{00000002-B15F-4987-9914-8F3A7B050A69}"/>
            </c:ext>
          </c:extLst>
        </c:ser>
        <c:ser>
          <c:idx val="3"/>
          <c:order val="3"/>
          <c:tx>
            <c:strRef>
              <c:f>'LCA Sc2'!$K$66</c:f>
              <c:strCache>
                <c:ptCount val="1"/>
                <c:pt idx="0">
                  <c:v>Controlled landfill</c:v>
                </c:pt>
              </c:strCache>
            </c:strRef>
          </c:tx>
          <c:spPr>
            <a:solidFill>
              <a:srgbClr val="99CC00"/>
            </a:solidFill>
            <a:ln w="12700">
              <a:solidFill>
                <a:srgbClr val="000000"/>
              </a:solidFill>
              <a:prstDash val="solid"/>
            </a:ln>
          </c:spPr>
          <c:invertIfNegative val="0"/>
          <c:cat>
            <c:strRef>
              <c:f>'LCA Sc2'!$L$62:$M$62</c:f>
              <c:strCache>
                <c:ptCount val="2"/>
                <c:pt idx="0">
                  <c:v>Disposed of waste</c:v>
                </c:pt>
                <c:pt idx="1">
                  <c:v>Net</c:v>
                </c:pt>
              </c:strCache>
            </c:strRef>
          </c:cat>
          <c:val>
            <c:numRef>
              <c:f>'LCA Sc2'!$L$66:$M$66</c:f>
              <c:numCache>
                <c:formatCode>General</c:formatCode>
                <c:ptCount val="2"/>
                <c:pt idx="0" formatCode="#,##0">
                  <c:v>0</c:v>
                </c:pt>
              </c:numCache>
            </c:numRef>
          </c:val>
          <c:extLst>
            <c:ext xmlns:c16="http://schemas.microsoft.com/office/drawing/2014/chart" uri="{C3380CC4-5D6E-409C-BE32-E72D297353CC}">
              <c16:uniqueId val="{00000003-B15F-4987-9914-8F3A7B050A69}"/>
            </c:ext>
          </c:extLst>
        </c:ser>
        <c:ser>
          <c:idx val="4"/>
          <c:order val="4"/>
          <c:tx>
            <c:strRef>
              <c:f>'LCA Sc2'!$K$67</c:f>
              <c:strCache>
                <c:ptCount val="1"/>
                <c:pt idx="0">
                  <c:v>Sanitary landfill</c:v>
                </c:pt>
              </c:strCache>
            </c:strRef>
          </c:tx>
          <c:spPr>
            <a:solidFill>
              <a:srgbClr val="FFFF00"/>
            </a:solidFill>
            <a:ln w="12700">
              <a:solidFill>
                <a:srgbClr val="000000"/>
              </a:solidFill>
              <a:prstDash val="solid"/>
            </a:ln>
          </c:spPr>
          <c:invertIfNegative val="0"/>
          <c:cat>
            <c:strRef>
              <c:f>'LCA Sc2'!$L$62:$M$62</c:f>
              <c:strCache>
                <c:ptCount val="2"/>
                <c:pt idx="0">
                  <c:v>Disposed of waste</c:v>
                </c:pt>
                <c:pt idx="1">
                  <c:v>Net</c:v>
                </c:pt>
              </c:strCache>
            </c:strRef>
          </c:cat>
          <c:val>
            <c:numRef>
              <c:f>'LCA Sc2'!$L$67:$M$67</c:f>
              <c:numCache>
                <c:formatCode>General</c:formatCode>
                <c:ptCount val="2"/>
                <c:pt idx="0" formatCode="#,##0">
                  <c:v>0</c:v>
                </c:pt>
              </c:numCache>
            </c:numRef>
          </c:val>
          <c:extLst>
            <c:ext xmlns:c16="http://schemas.microsoft.com/office/drawing/2014/chart" uri="{C3380CC4-5D6E-409C-BE32-E72D297353CC}">
              <c16:uniqueId val="{00000004-B15F-4987-9914-8F3A7B050A69}"/>
            </c:ext>
          </c:extLst>
        </c:ser>
        <c:ser>
          <c:idx val="5"/>
          <c:order val="5"/>
          <c:tx>
            <c:strRef>
              <c:f>'LCA Sc2'!$K$68</c:f>
              <c:strCache>
                <c:ptCount val="1"/>
                <c:pt idx="0">
                  <c:v>BS/landfill</c:v>
                </c:pt>
              </c:strCache>
            </c:strRef>
          </c:tx>
          <c:spPr>
            <a:solidFill>
              <a:srgbClr val="FF00FF"/>
            </a:solidFill>
            <a:ln w="12700">
              <a:solidFill>
                <a:srgbClr val="000000"/>
              </a:solidFill>
              <a:prstDash val="solid"/>
            </a:ln>
          </c:spPr>
          <c:invertIfNegative val="0"/>
          <c:cat>
            <c:strRef>
              <c:f>'LCA Sc2'!$L$62:$M$62</c:f>
              <c:strCache>
                <c:ptCount val="2"/>
                <c:pt idx="0">
                  <c:v>Disposed of waste</c:v>
                </c:pt>
                <c:pt idx="1">
                  <c:v>Net</c:v>
                </c:pt>
              </c:strCache>
            </c:strRef>
          </c:cat>
          <c:val>
            <c:numRef>
              <c:f>'LCA Sc2'!$L$68:$M$68</c:f>
              <c:numCache>
                <c:formatCode>General</c:formatCode>
                <c:ptCount val="2"/>
                <c:pt idx="0" formatCode="#,##0">
                  <c:v>0</c:v>
                </c:pt>
              </c:numCache>
            </c:numRef>
          </c:val>
          <c:extLst>
            <c:ext xmlns:c16="http://schemas.microsoft.com/office/drawing/2014/chart" uri="{C3380CC4-5D6E-409C-BE32-E72D297353CC}">
              <c16:uniqueId val="{00000005-B15F-4987-9914-8F3A7B050A69}"/>
            </c:ext>
          </c:extLst>
        </c:ser>
        <c:ser>
          <c:idx val="6"/>
          <c:order val="6"/>
          <c:tx>
            <c:strRef>
              <c:f>'LCA Sc2'!$K$69</c:f>
              <c:strCache>
                <c:ptCount val="1"/>
                <c:pt idx="0">
                  <c:v>MBTaerobic/treatm</c:v>
                </c:pt>
              </c:strCache>
            </c:strRef>
          </c:tx>
          <c:spPr>
            <a:solidFill>
              <a:srgbClr val="008080"/>
            </a:solidFill>
            <a:ln w="12700">
              <a:solidFill>
                <a:srgbClr val="000000"/>
              </a:solidFill>
              <a:prstDash val="solid"/>
            </a:ln>
          </c:spPr>
          <c:invertIfNegative val="0"/>
          <c:cat>
            <c:strRef>
              <c:f>'LCA Sc2'!$L$62:$M$62</c:f>
              <c:strCache>
                <c:ptCount val="2"/>
                <c:pt idx="0">
                  <c:v>Disposed of waste</c:v>
                </c:pt>
                <c:pt idx="1">
                  <c:v>Net</c:v>
                </c:pt>
              </c:strCache>
            </c:strRef>
          </c:cat>
          <c:val>
            <c:numRef>
              <c:f>'LCA Sc2'!$L$69:$M$69</c:f>
              <c:numCache>
                <c:formatCode>General</c:formatCode>
                <c:ptCount val="2"/>
                <c:pt idx="0" formatCode="#,##0">
                  <c:v>0</c:v>
                </c:pt>
              </c:numCache>
            </c:numRef>
          </c:val>
          <c:extLst>
            <c:ext xmlns:c16="http://schemas.microsoft.com/office/drawing/2014/chart" uri="{C3380CC4-5D6E-409C-BE32-E72D297353CC}">
              <c16:uniqueId val="{00000006-B15F-4987-9914-8F3A7B050A69}"/>
            </c:ext>
          </c:extLst>
        </c:ser>
        <c:ser>
          <c:idx val="7"/>
          <c:order val="7"/>
          <c:tx>
            <c:strRef>
              <c:f>'LCA Sc2'!$K$70</c:f>
              <c:strCache>
                <c:ptCount val="1"/>
                <c:pt idx="0">
                  <c:v>MBTanaerobic/treatm</c:v>
                </c:pt>
              </c:strCache>
            </c:strRef>
          </c:tx>
          <c:spPr>
            <a:solidFill>
              <a:srgbClr val="00CCFF"/>
            </a:solidFill>
            <a:ln w="12700">
              <a:solidFill>
                <a:srgbClr val="000000"/>
              </a:solidFill>
              <a:prstDash val="solid"/>
            </a:ln>
          </c:spPr>
          <c:invertIfNegative val="0"/>
          <c:cat>
            <c:strRef>
              <c:f>'LCA Sc2'!$L$62:$M$62</c:f>
              <c:strCache>
                <c:ptCount val="2"/>
                <c:pt idx="0">
                  <c:v>Disposed of waste</c:v>
                </c:pt>
                <c:pt idx="1">
                  <c:v>Net</c:v>
                </c:pt>
              </c:strCache>
            </c:strRef>
          </c:cat>
          <c:val>
            <c:numRef>
              <c:f>'LCA Sc2'!$L$70:$M$70</c:f>
              <c:numCache>
                <c:formatCode>General</c:formatCode>
                <c:ptCount val="2"/>
                <c:pt idx="0" formatCode="#,##0">
                  <c:v>0</c:v>
                </c:pt>
              </c:numCache>
            </c:numRef>
          </c:val>
          <c:extLst>
            <c:ext xmlns:c16="http://schemas.microsoft.com/office/drawing/2014/chart" uri="{C3380CC4-5D6E-409C-BE32-E72D297353CC}">
              <c16:uniqueId val="{00000007-B15F-4987-9914-8F3A7B050A69}"/>
            </c:ext>
          </c:extLst>
        </c:ser>
        <c:ser>
          <c:idx val="8"/>
          <c:order val="8"/>
          <c:tx>
            <c:strRef>
              <c:f>'LCA Sc2'!$K$71</c:f>
              <c:strCache>
                <c:ptCount val="1"/>
                <c:pt idx="0">
                  <c:v>MBS/treatm</c:v>
                </c:pt>
              </c:strCache>
            </c:strRef>
          </c:tx>
          <c:spPr>
            <a:solidFill>
              <a:srgbClr val="FF9900"/>
            </a:solidFill>
            <a:ln w="12700">
              <a:solidFill>
                <a:srgbClr val="000000"/>
              </a:solidFill>
              <a:prstDash val="solid"/>
            </a:ln>
          </c:spPr>
          <c:invertIfNegative val="0"/>
          <c:cat>
            <c:strRef>
              <c:f>'LCA Sc2'!$L$62:$M$62</c:f>
              <c:strCache>
                <c:ptCount val="2"/>
                <c:pt idx="0">
                  <c:v>Disposed of waste</c:v>
                </c:pt>
                <c:pt idx="1">
                  <c:v>Net</c:v>
                </c:pt>
              </c:strCache>
            </c:strRef>
          </c:cat>
          <c:val>
            <c:numRef>
              <c:f>'LCA Sc2'!$L$71:$M$71</c:f>
              <c:numCache>
                <c:formatCode>General</c:formatCode>
                <c:ptCount val="2"/>
                <c:pt idx="0" formatCode="#,##0">
                  <c:v>0</c:v>
                </c:pt>
              </c:numCache>
            </c:numRef>
          </c:val>
          <c:extLst>
            <c:ext xmlns:c16="http://schemas.microsoft.com/office/drawing/2014/chart" uri="{C3380CC4-5D6E-409C-BE32-E72D297353CC}">
              <c16:uniqueId val="{00000008-B15F-4987-9914-8F3A7B050A69}"/>
            </c:ext>
          </c:extLst>
        </c:ser>
        <c:ser>
          <c:idx val="9"/>
          <c:order val="9"/>
          <c:tx>
            <c:strRef>
              <c:f>'LCA Sc2'!$K$72</c:f>
              <c:strCache>
                <c:ptCount val="1"/>
                <c:pt idx="0">
                  <c:v>Incineration</c:v>
                </c:pt>
              </c:strCache>
            </c:strRef>
          </c:tx>
          <c:spPr>
            <a:solidFill>
              <a:srgbClr val="CCCCFF"/>
            </a:solidFill>
            <a:ln w="12700">
              <a:solidFill>
                <a:srgbClr val="000000"/>
              </a:solidFill>
            </a:ln>
          </c:spPr>
          <c:invertIfNegative val="0"/>
          <c:cat>
            <c:strRef>
              <c:f>'LCA Sc2'!$L$62:$M$62</c:f>
              <c:strCache>
                <c:ptCount val="2"/>
                <c:pt idx="0">
                  <c:v>Disposed of waste</c:v>
                </c:pt>
                <c:pt idx="1">
                  <c:v>Net</c:v>
                </c:pt>
              </c:strCache>
            </c:strRef>
          </c:cat>
          <c:val>
            <c:numRef>
              <c:f>'LCA Sc2'!$L$72:$M$72</c:f>
              <c:numCache>
                <c:formatCode>General</c:formatCode>
                <c:ptCount val="2"/>
                <c:pt idx="0" formatCode="#,##0">
                  <c:v>0</c:v>
                </c:pt>
              </c:numCache>
            </c:numRef>
          </c:val>
          <c:extLst>
            <c:ext xmlns:c16="http://schemas.microsoft.com/office/drawing/2014/chart" uri="{C3380CC4-5D6E-409C-BE32-E72D297353CC}">
              <c16:uniqueId val="{00000009-B15F-4987-9914-8F3A7B050A69}"/>
            </c:ext>
          </c:extLst>
        </c:ser>
        <c:ser>
          <c:idx val="10"/>
          <c:order val="10"/>
          <c:tx>
            <c:strRef>
              <c:f>'LCA Sc2'!$K$73</c:f>
              <c:strCache>
                <c:ptCount val="1"/>
                <c:pt idx="0">
                  <c:v>Debits</c:v>
                </c:pt>
              </c:strCache>
            </c:strRef>
          </c:tx>
          <c:spPr>
            <a:noFill/>
            <a:ln w="12700">
              <a:noFill/>
              <a:prstDash val="solid"/>
            </a:ln>
          </c:spPr>
          <c:invertIfNegative val="0"/>
          <c:cat>
            <c:strRef>
              <c:f>'LCA Sc2'!$L$62:$M$62</c:f>
              <c:strCache>
                <c:ptCount val="2"/>
                <c:pt idx="0">
                  <c:v>Disposed of waste</c:v>
                </c:pt>
                <c:pt idx="1">
                  <c:v>Net</c:v>
                </c:pt>
              </c:strCache>
            </c:strRef>
          </c:cat>
          <c:val>
            <c:numRef>
              <c:f>'LCA Sc2'!$L$73:$M$73</c:f>
              <c:numCache>
                <c:formatCode>General</c:formatCode>
                <c:ptCount val="2"/>
              </c:numCache>
            </c:numRef>
          </c:val>
          <c:extLst>
            <c:ext xmlns:c16="http://schemas.microsoft.com/office/drawing/2014/chart" uri="{C3380CC4-5D6E-409C-BE32-E72D297353CC}">
              <c16:uniqueId val="{0000000A-B15F-4987-9914-8F3A7B050A69}"/>
            </c:ext>
          </c:extLst>
        </c:ser>
        <c:ser>
          <c:idx val="11"/>
          <c:order val="11"/>
          <c:tx>
            <c:strRef>
              <c:f>'LCA Sc2'!$K$74</c:f>
              <c:strCache>
                <c:ptCount val="1"/>
                <c:pt idx="0">
                  <c:v>Scattered</c:v>
                </c:pt>
              </c:strCache>
            </c:strRef>
          </c:tx>
          <c:spPr>
            <a:pattFill prst="wdUpDi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Sc2'!$L$74:$M$74</c:f>
              <c:numCache>
                <c:formatCode>General</c:formatCode>
                <c:ptCount val="2"/>
                <c:pt idx="0" formatCode="#,##0">
                  <c:v>0</c:v>
                </c:pt>
              </c:numCache>
            </c:numRef>
          </c:val>
          <c:extLst>
            <c:ext xmlns:c16="http://schemas.microsoft.com/office/drawing/2014/chart" uri="{C3380CC4-5D6E-409C-BE32-E72D297353CC}">
              <c16:uniqueId val="{0000000B-B15F-4987-9914-8F3A7B050A69}"/>
            </c:ext>
          </c:extLst>
        </c:ser>
        <c:ser>
          <c:idx val="12"/>
          <c:order val="12"/>
          <c:tx>
            <c:strRef>
              <c:f>'LCA Sc2'!$K$75</c:f>
              <c:strCache>
                <c:ptCount val="1"/>
                <c:pt idx="0">
                  <c:v>Burned-open</c:v>
                </c:pt>
              </c:strCache>
            </c:strRef>
          </c:tx>
          <c:spPr>
            <a:pattFill prst="wdDnDiag">
              <a:fgClr>
                <a:srgbClr val="FF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Sc2'!$L$75:$M$75</c:f>
              <c:numCache>
                <c:formatCode>General</c:formatCode>
                <c:ptCount val="2"/>
                <c:pt idx="0" formatCode="#,##0">
                  <c:v>0</c:v>
                </c:pt>
              </c:numCache>
            </c:numRef>
          </c:val>
          <c:extLst>
            <c:ext xmlns:c16="http://schemas.microsoft.com/office/drawing/2014/chart" uri="{C3380CC4-5D6E-409C-BE32-E72D297353CC}">
              <c16:uniqueId val="{0000000C-B15F-4987-9914-8F3A7B050A69}"/>
            </c:ext>
          </c:extLst>
        </c:ser>
        <c:ser>
          <c:idx val="13"/>
          <c:order val="13"/>
          <c:tx>
            <c:strRef>
              <c:f>'LCA Sc2'!$K$76</c:f>
              <c:strCache>
                <c:ptCount val="1"/>
                <c:pt idx="0">
                  <c:v>Wild dump</c:v>
                </c:pt>
              </c:strCache>
            </c:strRef>
          </c:tx>
          <c:spPr>
            <a:pattFill prst="wdUpDiag">
              <a:fgClr>
                <a:srgbClr val="9933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Sc2'!$L$76:$M$76</c:f>
              <c:numCache>
                <c:formatCode>General</c:formatCode>
                <c:ptCount val="2"/>
                <c:pt idx="0" formatCode="#,##0">
                  <c:v>0</c:v>
                </c:pt>
              </c:numCache>
            </c:numRef>
          </c:val>
          <c:extLst>
            <c:ext xmlns:c16="http://schemas.microsoft.com/office/drawing/2014/chart" uri="{C3380CC4-5D6E-409C-BE32-E72D297353CC}">
              <c16:uniqueId val="{0000000D-B15F-4987-9914-8F3A7B050A69}"/>
            </c:ext>
          </c:extLst>
        </c:ser>
        <c:ser>
          <c:idx val="14"/>
          <c:order val="14"/>
          <c:tx>
            <c:strRef>
              <c:f>'LCA Sc2'!$K$77</c:f>
              <c:strCache>
                <c:ptCount val="1"/>
                <c:pt idx="0">
                  <c:v>Controlled landfill</c:v>
                </c:pt>
              </c:strCache>
            </c:strRef>
          </c:tx>
          <c:spPr>
            <a:pattFill prst="wdDnDiag">
              <a:fgClr>
                <a:srgbClr val="99CC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Sc2'!$L$77:$M$77</c:f>
              <c:numCache>
                <c:formatCode>General</c:formatCode>
                <c:ptCount val="2"/>
                <c:pt idx="0" formatCode="#,##0">
                  <c:v>0</c:v>
                </c:pt>
              </c:numCache>
            </c:numRef>
          </c:val>
          <c:extLst>
            <c:ext xmlns:c16="http://schemas.microsoft.com/office/drawing/2014/chart" uri="{C3380CC4-5D6E-409C-BE32-E72D297353CC}">
              <c16:uniqueId val="{0000000E-B15F-4987-9914-8F3A7B050A69}"/>
            </c:ext>
          </c:extLst>
        </c:ser>
        <c:ser>
          <c:idx val="15"/>
          <c:order val="15"/>
          <c:tx>
            <c:strRef>
              <c:f>'LCA Sc2'!$K$78</c:f>
              <c:strCache>
                <c:ptCount val="1"/>
                <c:pt idx="0">
                  <c:v>Sanitary landfill</c:v>
                </c:pt>
              </c:strCache>
            </c:strRef>
          </c:tx>
          <c:spPr>
            <a:pattFill prst="wdUpDiag">
              <a:fgClr>
                <a:srgbClr val="FFFF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Sc2'!$L$78:$M$78</c:f>
              <c:numCache>
                <c:formatCode>General</c:formatCode>
                <c:ptCount val="2"/>
                <c:pt idx="0" formatCode="#,##0">
                  <c:v>0</c:v>
                </c:pt>
              </c:numCache>
            </c:numRef>
          </c:val>
          <c:extLst>
            <c:ext xmlns:c16="http://schemas.microsoft.com/office/drawing/2014/chart" uri="{C3380CC4-5D6E-409C-BE32-E72D297353CC}">
              <c16:uniqueId val="{0000000F-B15F-4987-9914-8F3A7B050A69}"/>
            </c:ext>
          </c:extLst>
        </c:ser>
        <c:ser>
          <c:idx val="16"/>
          <c:order val="16"/>
          <c:tx>
            <c:strRef>
              <c:f>'LCA Sc2'!$K$79</c:f>
              <c:strCache>
                <c:ptCount val="1"/>
                <c:pt idx="0">
                  <c:v>BS/landfill</c:v>
                </c:pt>
              </c:strCache>
            </c:strRef>
          </c:tx>
          <c:spPr>
            <a:pattFill prst="wdDnDiag">
              <a:fgClr>
                <a:srgbClr val="FF00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Sc2'!$L$79:$M$79</c:f>
              <c:numCache>
                <c:formatCode>General</c:formatCode>
                <c:ptCount val="2"/>
                <c:pt idx="0" formatCode="#,##0">
                  <c:v>0</c:v>
                </c:pt>
              </c:numCache>
            </c:numRef>
          </c:val>
          <c:extLst>
            <c:ext xmlns:c16="http://schemas.microsoft.com/office/drawing/2014/chart" uri="{C3380CC4-5D6E-409C-BE32-E72D297353CC}">
              <c16:uniqueId val="{00000010-B15F-4987-9914-8F3A7B050A69}"/>
            </c:ext>
          </c:extLst>
        </c:ser>
        <c:ser>
          <c:idx val="17"/>
          <c:order val="17"/>
          <c:tx>
            <c:strRef>
              <c:f>'LCA Sc2'!$K$80</c:f>
              <c:strCache>
                <c:ptCount val="1"/>
                <c:pt idx="0">
                  <c:v>MBTaerobic/treatm</c:v>
                </c:pt>
              </c:strCache>
            </c:strRef>
          </c:tx>
          <c:spPr>
            <a:pattFill prst="wdUpDiag">
              <a:fgClr>
                <a:srgbClr val="00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Sc2'!$L$80:$M$80</c:f>
              <c:numCache>
                <c:formatCode>General</c:formatCode>
                <c:ptCount val="2"/>
                <c:pt idx="0" formatCode="#,##0">
                  <c:v>0</c:v>
                </c:pt>
              </c:numCache>
            </c:numRef>
          </c:val>
          <c:extLst>
            <c:ext xmlns:c16="http://schemas.microsoft.com/office/drawing/2014/chart" uri="{C3380CC4-5D6E-409C-BE32-E72D297353CC}">
              <c16:uniqueId val="{00000011-B15F-4987-9914-8F3A7B050A69}"/>
            </c:ext>
          </c:extLst>
        </c:ser>
        <c:ser>
          <c:idx val="18"/>
          <c:order val="18"/>
          <c:tx>
            <c:strRef>
              <c:f>'LCA Sc2'!$K$81</c:f>
              <c:strCache>
                <c:ptCount val="1"/>
                <c:pt idx="0">
                  <c:v>MBTanaerobic/treatm</c:v>
                </c:pt>
              </c:strCache>
            </c:strRef>
          </c:tx>
          <c:spPr>
            <a:pattFill prst="wdDnDiag">
              <a:fgClr>
                <a:srgbClr val="0099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Sc2'!$L$62:$M$62</c:f>
              <c:strCache>
                <c:ptCount val="2"/>
                <c:pt idx="0">
                  <c:v>Disposed of waste</c:v>
                </c:pt>
                <c:pt idx="1">
                  <c:v>Net</c:v>
                </c:pt>
              </c:strCache>
            </c:strRef>
          </c:cat>
          <c:val>
            <c:numRef>
              <c:f>'LCA Sc2'!$L$81:$M$81</c:f>
              <c:numCache>
                <c:formatCode>General</c:formatCode>
                <c:ptCount val="2"/>
                <c:pt idx="0" formatCode="#,##0">
                  <c:v>0</c:v>
                </c:pt>
              </c:numCache>
            </c:numRef>
          </c:val>
          <c:extLst>
            <c:ext xmlns:c16="http://schemas.microsoft.com/office/drawing/2014/chart" uri="{C3380CC4-5D6E-409C-BE32-E72D297353CC}">
              <c16:uniqueId val="{00000012-B15F-4987-9914-8F3A7B050A69}"/>
            </c:ext>
          </c:extLst>
        </c:ser>
        <c:ser>
          <c:idx val="19"/>
          <c:order val="19"/>
          <c:tx>
            <c:strRef>
              <c:f>'LCA Sc2'!$K$82</c:f>
              <c:strCache>
                <c:ptCount val="1"/>
                <c:pt idx="0">
                  <c:v>MBS/treatm</c:v>
                </c:pt>
              </c:strCache>
            </c:strRef>
          </c:tx>
          <c:spPr>
            <a:pattFill prst="wdUpDiag">
              <a:fgClr>
                <a:srgbClr val="FF9900"/>
              </a:fgClr>
              <a:bgClr>
                <a:schemeClr val="bg1"/>
              </a:bgClr>
            </a:pattFill>
            <a:ln w="12700">
              <a:solidFill>
                <a:srgbClr val="000000"/>
              </a:solidFill>
            </a:ln>
          </c:spPr>
          <c:invertIfNegative val="0"/>
          <c:cat>
            <c:strRef>
              <c:f>'LCA Sc2'!$L$62:$M$62</c:f>
              <c:strCache>
                <c:ptCount val="2"/>
                <c:pt idx="0">
                  <c:v>Disposed of waste</c:v>
                </c:pt>
                <c:pt idx="1">
                  <c:v>Net</c:v>
                </c:pt>
              </c:strCache>
            </c:strRef>
          </c:cat>
          <c:val>
            <c:numRef>
              <c:f>'LCA Sc2'!$L$82:$M$82</c:f>
              <c:numCache>
                <c:formatCode>General</c:formatCode>
                <c:ptCount val="2"/>
                <c:pt idx="0" formatCode="#,##0">
                  <c:v>0</c:v>
                </c:pt>
              </c:numCache>
            </c:numRef>
          </c:val>
          <c:extLst>
            <c:ext xmlns:c16="http://schemas.microsoft.com/office/drawing/2014/chart" uri="{C3380CC4-5D6E-409C-BE32-E72D297353CC}">
              <c16:uniqueId val="{00000013-B15F-4987-9914-8F3A7B050A69}"/>
            </c:ext>
          </c:extLst>
        </c:ser>
        <c:ser>
          <c:idx val="20"/>
          <c:order val="20"/>
          <c:tx>
            <c:strRef>
              <c:f>'LCA Sc2'!$K$83</c:f>
              <c:strCache>
                <c:ptCount val="1"/>
                <c:pt idx="0">
                  <c:v>Incineration</c:v>
                </c:pt>
              </c:strCache>
            </c:strRef>
          </c:tx>
          <c:spPr>
            <a:pattFill prst="wdDnDiag">
              <a:fgClr>
                <a:srgbClr val="CCCCFF"/>
              </a:fgClr>
              <a:bgClr>
                <a:schemeClr val="bg1"/>
              </a:bgClr>
            </a:pattFill>
            <a:ln w="12700">
              <a:solidFill>
                <a:srgbClr val="000000"/>
              </a:solidFill>
              <a:prstDash val="solid"/>
            </a:ln>
          </c:spPr>
          <c:invertIfNegative val="0"/>
          <c:cat>
            <c:strRef>
              <c:f>'LCA Sc2'!$L$62:$M$62</c:f>
              <c:strCache>
                <c:ptCount val="2"/>
                <c:pt idx="0">
                  <c:v>Disposed of waste</c:v>
                </c:pt>
                <c:pt idx="1">
                  <c:v>Net</c:v>
                </c:pt>
              </c:strCache>
            </c:strRef>
          </c:cat>
          <c:val>
            <c:numRef>
              <c:f>'LCA Sc2'!$L$83:$M$83</c:f>
              <c:numCache>
                <c:formatCode>General</c:formatCode>
                <c:ptCount val="2"/>
                <c:pt idx="0" formatCode="#,##0">
                  <c:v>0</c:v>
                </c:pt>
              </c:numCache>
            </c:numRef>
          </c:val>
          <c:extLst>
            <c:ext xmlns:c16="http://schemas.microsoft.com/office/drawing/2014/chart" uri="{C3380CC4-5D6E-409C-BE32-E72D297353CC}">
              <c16:uniqueId val="{00000014-B15F-4987-9914-8F3A7B050A69}"/>
            </c:ext>
          </c:extLst>
        </c:ser>
        <c:ser>
          <c:idx val="21"/>
          <c:order val="21"/>
          <c:tx>
            <c:strRef>
              <c:f>'LCA Sc2'!$K$84</c:f>
              <c:strCache>
                <c:ptCount val="1"/>
                <c:pt idx="0">
                  <c:v>Credits</c:v>
                </c:pt>
              </c:strCache>
            </c:strRef>
          </c:tx>
          <c:spPr>
            <a:noFill/>
          </c:spPr>
          <c:invertIfNegative val="0"/>
          <c:cat>
            <c:strRef>
              <c:f>'LCA Sc2'!$L$62:$M$62</c:f>
              <c:strCache>
                <c:ptCount val="2"/>
                <c:pt idx="0">
                  <c:v>Disposed of waste</c:v>
                </c:pt>
                <c:pt idx="1">
                  <c:v>Net</c:v>
                </c:pt>
              </c:strCache>
            </c:strRef>
          </c:cat>
          <c:val>
            <c:numRef>
              <c:f>'LCA Sc2'!$L$84:$M$84</c:f>
              <c:numCache>
                <c:formatCode>General</c:formatCode>
                <c:ptCount val="2"/>
              </c:numCache>
            </c:numRef>
          </c:val>
          <c:extLst>
            <c:ext xmlns:c16="http://schemas.microsoft.com/office/drawing/2014/chart" uri="{C3380CC4-5D6E-409C-BE32-E72D297353CC}">
              <c16:uniqueId val="{00000015-B15F-4987-9914-8F3A7B050A69}"/>
            </c:ext>
          </c:extLst>
        </c:ser>
        <c:ser>
          <c:idx val="22"/>
          <c:order val="22"/>
          <c:tx>
            <c:strRef>
              <c:f>'LCA Sc2'!$K$85</c:f>
              <c:strCache>
                <c:ptCount val="1"/>
                <c:pt idx="0">
                  <c:v>Net</c:v>
                </c:pt>
              </c:strCache>
            </c:strRef>
          </c:tx>
          <c:spPr>
            <a:solidFill>
              <a:srgbClr val="0000FF"/>
            </a:solidFill>
          </c:spPr>
          <c:invertIfNegative val="0"/>
          <c:cat>
            <c:strRef>
              <c:f>'LCA Sc2'!$L$62:$M$62</c:f>
              <c:strCache>
                <c:ptCount val="2"/>
                <c:pt idx="0">
                  <c:v>Disposed of waste</c:v>
                </c:pt>
                <c:pt idx="1">
                  <c:v>Net</c:v>
                </c:pt>
              </c:strCache>
            </c:strRef>
          </c:cat>
          <c:val>
            <c:numRef>
              <c:f>'LCA Sc2'!$L$85:$M$85</c:f>
              <c:numCache>
                <c:formatCode>#,##0</c:formatCode>
                <c:ptCount val="2"/>
                <c:pt idx="1">
                  <c:v>0</c:v>
                </c:pt>
              </c:numCache>
            </c:numRef>
          </c:val>
          <c:extLst>
            <c:ext xmlns:c16="http://schemas.microsoft.com/office/drawing/2014/chart" uri="{C3380CC4-5D6E-409C-BE32-E72D297353CC}">
              <c16:uniqueId val="{00000016-B15F-4987-9914-8F3A7B050A69}"/>
            </c:ext>
          </c:extLst>
        </c:ser>
        <c:dLbls>
          <c:showLegendKey val="0"/>
          <c:showVal val="0"/>
          <c:showCatName val="0"/>
          <c:showSerName val="0"/>
          <c:showPercent val="0"/>
          <c:showBubbleSize val="0"/>
        </c:dLbls>
        <c:gapWidth val="100"/>
        <c:overlap val="100"/>
        <c:axId val="561442888"/>
        <c:axId val="1"/>
      </c:barChart>
      <c:catAx>
        <c:axId val="5614428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tonne CO2e/yr</a:t>
                </a:r>
              </a:p>
            </c:rich>
          </c:tx>
          <c:layout>
            <c:manualLayout>
              <c:xMode val="edge"/>
              <c:yMode val="edge"/>
              <c:x val="1.101322770386033E-2"/>
              <c:y val="0.35933147632311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1442888"/>
        <c:crosses val="autoZero"/>
        <c:crossBetween val="between"/>
      </c:valAx>
      <c:spPr>
        <a:noFill/>
        <a:ln w="12700">
          <a:solidFill>
            <a:srgbClr val="808080"/>
          </a:solidFill>
          <a:prstDash val="solid"/>
        </a:ln>
      </c:spPr>
    </c:plotArea>
    <c:legend>
      <c:legendPos val="r"/>
      <c:legendEntry>
        <c:idx val="0"/>
        <c:txPr>
          <a:bodyPr/>
          <a:lstStyle/>
          <a:p>
            <a:pPr>
              <a:defRPr sz="780" b="1" i="0" u="none" strike="noStrike" baseline="0">
                <a:solidFill>
                  <a:srgbClr val="000000"/>
                </a:solidFill>
                <a:latin typeface="Arial"/>
                <a:ea typeface="Arial"/>
                <a:cs typeface="Arial"/>
              </a:defRPr>
            </a:pPr>
            <a:endParaRPr lang="de-DE"/>
          </a:p>
        </c:txPr>
      </c:legendEntry>
      <c:legendEntry>
        <c:idx val="1"/>
        <c:txPr>
          <a:bodyPr/>
          <a:lstStyle/>
          <a:p>
            <a:pPr>
              <a:defRPr sz="780" b="1" i="0" u="none" strike="noStrike" baseline="0">
                <a:solidFill>
                  <a:srgbClr val="000000"/>
                </a:solidFill>
                <a:latin typeface="Arial"/>
                <a:ea typeface="Arial"/>
                <a:cs typeface="Arial"/>
              </a:defRPr>
            </a:pPr>
            <a:endParaRPr lang="de-DE"/>
          </a:p>
        </c:txPr>
      </c:legendEntry>
      <c:legendEntry>
        <c:idx val="2"/>
        <c:txPr>
          <a:bodyPr/>
          <a:lstStyle/>
          <a:p>
            <a:pPr>
              <a:defRPr sz="780" b="0" i="0" u="none" strike="noStrike" baseline="0">
                <a:solidFill>
                  <a:srgbClr val="000000"/>
                </a:solidFill>
                <a:latin typeface="Arial"/>
                <a:ea typeface="Arial"/>
                <a:cs typeface="Arial"/>
              </a:defRPr>
            </a:pPr>
            <a:endParaRPr lang="de-DE"/>
          </a:p>
        </c:txPr>
      </c:legendEntry>
      <c:legendEntry>
        <c:idx val="3"/>
        <c:txPr>
          <a:bodyPr/>
          <a:lstStyle/>
          <a:p>
            <a:pPr>
              <a:defRPr sz="780" b="0" i="0" u="none" strike="noStrike" baseline="0">
                <a:solidFill>
                  <a:srgbClr val="000000"/>
                </a:solidFill>
                <a:latin typeface="Arial"/>
                <a:ea typeface="Arial"/>
                <a:cs typeface="Arial"/>
              </a:defRPr>
            </a:pPr>
            <a:endParaRPr lang="de-DE"/>
          </a:p>
        </c:txPr>
      </c:legendEntry>
      <c:legendEntry>
        <c:idx val="6"/>
        <c:txPr>
          <a:bodyPr/>
          <a:lstStyle/>
          <a:p>
            <a:pPr>
              <a:defRPr sz="780" b="0" i="0" u="none" strike="noStrike" baseline="0">
                <a:solidFill>
                  <a:srgbClr val="000000"/>
                </a:solidFill>
                <a:latin typeface="Arial"/>
                <a:ea typeface="Arial"/>
                <a:cs typeface="Arial"/>
              </a:defRPr>
            </a:pPr>
            <a:endParaRPr lang="de-DE"/>
          </a:p>
        </c:txPr>
      </c:legendEntry>
      <c:legendEntry>
        <c:idx val="7"/>
        <c:txPr>
          <a:bodyPr/>
          <a:lstStyle/>
          <a:p>
            <a:pPr>
              <a:defRPr sz="780" b="0" i="0" u="none" strike="noStrike" baseline="0">
                <a:solidFill>
                  <a:srgbClr val="000000"/>
                </a:solidFill>
                <a:latin typeface="Arial"/>
                <a:ea typeface="Arial"/>
                <a:cs typeface="Arial"/>
              </a:defRPr>
            </a:pPr>
            <a:endParaRPr lang="de-DE"/>
          </a:p>
        </c:txPr>
      </c:legendEntry>
      <c:legendEntry>
        <c:idx val="10"/>
        <c:txPr>
          <a:bodyPr/>
          <a:lstStyle/>
          <a:p>
            <a:pPr>
              <a:defRPr sz="780" b="0" i="0" u="none" strike="noStrike" baseline="0">
                <a:solidFill>
                  <a:srgbClr val="000000"/>
                </a:solidFill>
                <a:latin typeface="Arial"/>
                <a:ea typeface="Arial"/>
                <a:cs typeface="Arial"/>
              </a:defRPr>
            </a:pPr>
            <a:endParaRPr lang="de-DE"/>
          </a:p>
        </c:txPr>
      </c:legendEntry>
      <c:legendEntry>
        <c:idx val="11"/>
        <c:txPr>
          <a:bodyPr/>
          <a:lstStyle/>
          <a:p>
            <a:pPr>
              <a:defRPr sz="780" b="0" i="0" u="none" strike="noStrike" baseline="0">
                <a:solidFill>
                  <a:srgbClr val="000000"/>
                </a:solidFill>
                <a:latin typeface="Arial"/>
                <a:ea typeface="Arial"/>
                <a:cs typeface="Arial"/>
              </a:defRPr>
            </a:pPr>
            <a:endParaRPr lang="de-DE"/>
          </a:p>
        </c:txPr>
      </c:legendEntry>
      <c:legendEntry>
        <c:idx val="12"/>
        <c:txPr>
          <a:bodyPr/>
          <a:lstStyle/>
          <a:p>
            <a:pPr>
              <a:defRPr sz="780" b="1" i="0" u="none" strike="noStrike" baseline="0">
                <a:solidFill>
                  <a:srgbClr val="000000"/>
                </a:solidFill>
                <a:latin typeface="Arial"/>
                <a:ea typeface="Arial"/>
                <a:cs typeface="Arial"/>
              </a:defRPr>
            </a:pPr>
            <a:endParaRPr lang="de-DE"/>
          </a:p>
        </c:txPr>
      </c:legendEntry>
      <c:legendEntry>
        <c:idx val="13"/>
        <c:txPr>
          <a:bodyPr/>
          <a:lstStyle/>
          <a:p>
            <a:pPr>
              <a:defRPr sz="780" b="0" i="0" u="none" strike="noStrike" baseline="0">
                <a:solidFill>
                  <a:srgbClr val="000000"/>
                </a:solidFill>
                <a:latin typeface="Arial"/>
                <a:ea typeface="Arial"/>
                <a:cs typeface="Arial"/>
              </a:defRPr>
            </a:pPr>
            <a:endParaRPr lang="de-DE"/>
          </a:p>
        </c:txPr>
      </c:legendEntry>
      <c:legendEntry>
        <c:idx val="15"/>
        <c:txPr>
          <a:bodyPr/>
          <a:lstStyle/>
          <a:p>
            <a:pPr>
              <a:defRPr sz="780" b="0" i="0" u="none" strike="noStrike" baseline="0">
                <a:solidFill>
                  <a:srgbClr val="000000"/>
                </a:solidFill>
                <a:latin typeface="Arial"/>
                <a:ea typeface="Arial"/>
                <a:cs typeface="Arial"/>
              </a:defRPr>
            </a:pPr>
            <a:endParaRPr lang="de-DE"/>
          </a:p>
        </c:txPr>
      </c:legendEntry>
      <c:legendEntry>
        <c:idx val="17"/>
        <c:txPr>
          <a:bodyPr/>
          <a:lstStyle/>
          <a:p>
            <a:pPr>
              <a:defRPr sz="780" b="0" i="0" u="none" strike="noStrike" baseline="0">
                <a:solidFill>
                  <a:srgbClr val="000000"/>
                </a:solidFill>
                <a:latin typeface="Arial"/>
                <a:ea typeface="Arial"/>
                <a:cs typeface="Arial"/>
              </a:defRPr>
            </a:pPr>
            <a:endParaRPr lang="de-DE"/>
          </a:p>
        </c:txPr>
      </c:legendEntry>
      <c:layout>
        <c:manualLayout>
          <c:xMode val="edge"/>
          <c:yMode val="edge"/>
          <c:x val="0.73318386012185555"/>
          <c:y val="4.7440245124682416E-2"/>
          <c:w val="0.25217032451178367"/>
          <c:h val="0.9186541199108275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Waste treated</a:t>
            </a:r>
          </a:p>
        </c:rich>
      </c:tx>
      <c:layout>
        <c:manualLayout>
          <c:xMode val="edge"/>
          <c:yMode val="edge"/>
          <c:x val="0.41295546558704455"/>
          <c:y val="1.2106537530266344E-2"/>
        </c:manualLayout>
      </c:layout>
      <c:overlay val="0"/>
      <c:spPr>
        <a:noFill/>
        <a:ln w="25400">
          <a:noFill/>
        </a:ln>
      </c:spPr>
    </c:title>
    <c:autoTitleDeleted val="0"/>
    <c:plotArea>
      <c:layout>
        <c:manualLayout>
          <c:layoutTarget val="inner"/>
          <c:xMode val="edge"/>
          <c:yMode val="edge"/>
          <c:x val="0.19635627530364372"/>
          <c:y val="8.7167070217917669E-2"/>
          <c:w val="0.77732793522267207"/>
          <c:h val="0.61016949152542377"/>
        </c:manualLayout>
      </c:layout>
      <c:barChart>
        <c:barDir val="col"/>
        <c:grouping val="clustered"/>
        <c:varyColors val="0"/>
        <c:ser>
          <c:idx val="0"/>
          <c:order val="0"/>
          <c:spPr>
            <a:solidFill>
              <a:srgbClr val="008000"/>
            </a:solidFill>
            <a:ln w="12700">
              <a:solidFill>
                <a:srgbClr val="000000"/>
              </a:solidFill>
              <a:prstDash val="solid"/>
            </a:ln>
          </c:spPr>
          <c:invertIfNegative val="0"/>
          <c:cat>
            <c:strRef>
              <c:f>('LCA Sc3'!$B$7:$B$14,'LCA Sc3'!$B$17:$B$26)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Sc3'!$C$7:$C$14,'LCA Sc3'!$C$17:$C$26)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8FA5-43EC-8B8C-3EB5D6805638}"/>
            </c:ext>
          </c:extLst>
        </c:ser>
        <c:dLbls>
          <c:showLegendKey val="0"/>
          <c:showVal val="0"/>
          <c:showCatName val="0"/>
          <c:showSerName val="0"/>
          <c:showPercent val="0"/>
          <c:showBubbleSize val="0"/>
        </c:dLbls>
        <c:gapWidth val="100"/>
        <c:axId val="562550968"/>
        <c:axId val="1"/>
      </c:barChart>
      <c:catAx>
        <c:axId val="562550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366000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de-DE"/>
                  <a:t>t/yr</a:t>
                </a:r>
              </a:p>
            </c:rich>
          </c:tx>
          <c:layout>
            <c:manualLayout>
              <c:xMode val="edge"/>
              <c:yMode val="edge"/>
              <c:x val="1.0121457489878543E-2"/>
              <c:y val="0.3607748184019370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562550968"/>
        <c:crosses val="autoZero"/>
        <c:crossBetween val="between"/>
      </c:valAx>
      <c:spPr>
        <a:noFill/>
        <a:ln w="3175">
          <a:solidFill>
            <a:srgbClr val="000000"/>
          </a:solidFill>
          <a:prstDash val="solid"/>
        </a:ln>
      </c:spPr>
    </c:plotArea>
    <c:plotVisOnly val="1"/>
    <c:dispBlanksAs val="gap"/>
    <c:showDLblsOverMax val="0"/>
  </c:chart>
  <c:spPr>
    <a:no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recycling</a:t>
            </a:r>
          </a:p>
        </c:rich>
      </c:tx>
      <c:layout>
        <c:manualLayout>
          <c:xMode val="edge"/>
          <c:yMode val="edge"/>
          <c:x val="0.24764179461991753"/>
          <c:y val="1.7595307917888565E-2"/>
        </c:manualLayout>
      </c:layout>
      <c:overlay val="0"/>
      <c:spPr>
        <a:noFill/>
        <a:ln w="25400">
          <a:noFill/>
        </a:ln>
      </c:spPr>
    </c:title>
    <c:autoTitleDeleted val="0"/>
    <c:plotArea>
      <c:layout>
        <c:manualLayout>
          <c:layoutTarget val="inner"/>
          <c:xMode val="edge"/>
          <c:yMode val="edge"/>
          <c:x val="0.23584932820944526"/>
          <c:y val="0.10263929618768329"/>
          <c:w val="0.45518920344422936"/>
          <c:h val="0.77126099706744866"/>
        </c:manualLayout>
      </c:layout>
      <c:barChart>
        <c:barDir val="col"/>
        <c:grouping val="stacked"/>
        <c:varyColors val="0"/>
        <c:ser>
          <c:idx val="0"/>
          <c:order val="0"/>
          <c:tx>
            <c:strRef>
              <c:f>'LCA Sc3'!$B$63</c:f>
              <c:strCache>
                <c:ptCount val="1"/>
                <c:pt idx="0">
                  <c:v>Food waste</c:v>
                </c:pt>
              </c:strCache>
            </c:strRef>
          </c:tx>
          <c:spPr>
            <a:solidFill>
              <a:srgbClr val="99CC00"/>
            </a:solidFill>
            <a:ln w="12700">
              <a:solidFill>
                <a:srgbClr val="000000"/>
              </a:solidFill>
              <a:prstDash val="solid"/>
            </a:ln>
          </c:spPr>
          <c:invertIfNegative val="0"/>
          <c:cat>
            <c:strRef>
              <c:f>'LCA Sc3'!$C$62:$D$62</c:f>
              <c:strCache>
                <c:ptCount val="2"/>
                <c:pt idx="0">
                  <c:v>Recycled waste</c:v>
                </c:pt>
                <c:pt idx="1">
                  <c:v>Net</c:v>
                </c:pt>
              </c:strCache>
            </c:strRef>
          </c:cat>
          <c:val>
            <c:numRef>
              <c:f>'LCA Sc3'!$C$63:$D$63</c:f>
              <c:numCache>
                <c:formatCode>General</c:formatCode>
                <c:ptCount val="2"/>
                <c:pt idx="0" formatCode="#,##0">
                  <c:v>0</c:v>
                </c:pt>
              </c:numCache>
            </c:numRef>
          </c:val>
          <c:extLst>
            <c:ext xmlns:c16="http://schemas.microsoft.com/office/drawing/2014/chart" uri="{C3380CC4-5D6E-409C-BE32-E72D297353CC}">
              <c16:uniqueId val="{00000000-9CEA-4869-87F8-14920BCD52E4}"/>
            </c:ext>
          </c:extLst>
        </c:ser>
        <c:ser>
          <c:idx val="1"/>
          <c:order val="1"/>
          <c:tx>
            <c:strRef>
              <c:f>'LCA Sc3'!$B$64</c:f>
              <c:strCache>
                <c:ptCount val="1"/>
                <c:pt idx="0">
                  <c:v>Garden and Park waste</c:v>
                </c:pt>
              </c:strCache>
            </c:strRef>
          </c:tx>
          <c:spPr>
            <a:solidFill>
              <a:srgbClr val="000080"/>
            </a:solidFill>
            <a:ln w="12700">
              <a:solidFill>
                <a:srgbClr val="000000"/>
              </a:solidFill>
              <a:prstDash val="solid"/>
            </a:ln>
          </c:spPr>
          <c:invertIfNegative val="0"/>
          <c:cat>
            <c:strRef>
              <c:f>'LCA Sc3'!$C$62:$D$62</c:f>
              <c:strCache>
                <c:ptCount val="2"/>
                <c:pt idx="0">
                  <c:v>Recycled waste</c:v>
                </c:pt>
                <c:pt idx="1">
                  <c:v>Net</c:v>
                </c:pt>
              </c:strCache>
            </c:strRef>
          </c:cat>
          <c:val>
            <c:numRef>
              <c:f>'LCA Sc3'!$C$64:$D$64</c:f>
              <c:numCache>
                <c:formatCode>General</c:formatCode>
                <c:ptCount val="2"/>
                <c:pt idx="0" formatCode="#,##0">
                  <c:v>0</c:v>
                </c:pt>
              </c:numCache>
            </c:numRef>
          </c:val>
          <c:extLst>
            <c:ext xmlns:c16="http://schemas.microsoft.com/office/drawing/2014/chart" uri="{C3380CC4-5D6E-409C-BE32-E72D297353CC}">
              <c16:uniqueId val="{00000001-9CEA-4869-87F8-14920BCD52E4}"/>
            </c:ext>
          </c:extLst>
        </c:ser>
        <c:ser>
          <c:idx val="2"/>
          <c:order val="2"/>
          <c:tx>
            <c:strRef>
              <c:f>'LCA Sc3'!$B$65</c:f>
              <c:strCache>
                <c:ptCount val="1"/>
                <c:pt idx="0">
                  <c:v>Paper, cardboard</c:v>
                </c:pt>
              </c:strCache>
            </c:strRef>
          </c:tx>
          <c:spPr>
            <a:solidFill>
              <a:srgbClr val="CC99FF"/>
            </a:solidFill>
            <a:ln w="12700">
              <a:solidFill>
                <a:srgbClr val="000000"/>
              </a:solidFill>
              <a:prstDash val="solid"/>
            </a:ln>
          </c:spPr>
          <c:invertIfNegative val="0"/>
          <c:cat>
            <c:strRef>
              <c:f>'LCA Sc3'!$C$62:$D$62</c:f>
              <c:strCache>
                <c:ptCount val="2"/>
                <c:pt idx="0">
                  <c:v>Recycled waste</c:v>
                </c:pt>
                <c:pt idx="1">
                  <c:v>Net</c:v>
                </c:pt>
              </c:strCache>
            </c:strRef>
          </c:cat>
          <c:val>
            <c:numRef>
              <c:f>'LCA Sc3'!$C$65:$D$65</c:f>
              <c:numCache>
                <c:formatCode>General</c:formatCode>
                <c:ptCount val="2"/>
                <c:pt idx="0" formatCode="#,##0">
                  <c:v>0</c:v>
                </c:pt>
              </c:numCache>
            </c:numRef>
          </c:val>
          <c:extLst>
            <c:ext xmlns:c16="http://schemas.microsoft.com/office/drawing/2014/chart" uri="{C3380CC4-5D6E-409C-BE32-E72D297353CC}">
              <c16:uniqueId val="{00000002-9CEA-4869-87F8-14920BCD52E4}"/>
            </c:ext>
          </c:extLst>
        </c:ser>
        <c:ser>
          <c:idx val="3"/>
          <c:order val="3"/>
          <c:tx>
            <c:strRef>
              <c:f>'LCA Sc3'!$B$66</c:f>
              <c:strCache>
                <c:ptCount val="1"/>
                <c:pt idx="0">
                  <c:v>Plastics</c:v>
                </c:pt>
              </c:strCache>
            </c:strRef>
          </c:tx>
          <c:spPr>
            <a:solidFill>
              <a:srgbClr val="FFFF00"/>
            </a:solidFill>
            <a:ln w="12700">
              <a:solidFill>
                <a:srgbClr val="000000"/>
              </a:solidFill>
              <a:prstDash val="solid"/>
            </a:ln>
          </c:spPr>
          <c:invertIfNegative val="0"/>
          <c:cat>
            <c:strRef>
              <c:f>'LCA Sc3'!$C$62:$D$62</c:f>
              <c:strCache>
                <c:ptCount val="2"/>
                <c:pt idx="0">
                  <c:v>Recycled waste</c:v>
                </c:pt>
                <c:pt idx="1">
                  <c:v>Net</c:v>
                </c:pt>
              </c:strCache>
            </c:strRef>
          </c:cat>
          <c:val>
            <c:numRef>
              <c:f>'LCA Sc3'!$C$66:$D$66</c:f>
              <c:numCache>
                <c:formatCode>General</c:formatCode>
                <c:ptCount val="2"/>
                <c:pt idx="0" formatCode="#,##0">
                  <c:v>0</c:v>
                </c:pt>
              </c:numCache>
            </c:numRef>
          </c:val>
          <c:extLst>
            <c:ext xmlns:c16="http://schemas.microsoft.com/office/drawing/2014/chart" uri="{C3380CC4-5D6E-409C-BE32-E72D297353CC}">
              <c16:uniqueId val="{00000003-9CEA-4869-87F8-14920BCD52E4}"/>
            </c:ext>
          </c:extLst>
        </c:ser>
        <c:ser>
          <c:idx val="4"/>
          <c:order val="4"/>
          <c:tx>
            <c:strRef>
              <c:f>'LCA Sc3'!$B$67</c:f>
              <c:strCache>
                <c:ptCount val="1"/>
                <c:pt idx="0">
                  <c:v>Glass</c:v>
                </c:pt>
              </c:strCache>
            </c:strRef>
          </c:tx>
          <c:spPr>
            <a:solidFill>
              <a:srgbClr val="FF99CC"/>
            </a:solidFill>
            <a:ln w="12700">
              <a:solidFill>
                <a:srgbClr val="000000"/>
              </a:solidFill>
              <a:prstDash val="solid"/>
            </a:ln>
          </c:spPr>
          <c:invertIfNegative val="0"/>
          <c:cat>
            <c:strRef>
              <c:f>'LCA Sc3'!$C$62:$D$62</c:f>
              <c:strCache>
                <c:ptCount val="2"/>
                <c:pt idx="0">
                  <c:v>Recycled waste</c:v>
                </c:pt>
                <c:pt idx="1">
                  <c:v>Net</c:v>
                </c:pt>
              </c:strCache>
            </c:strRef>
          </c:cat>
          <c:val>
            <c:numRef>
              <c:f>'LCA Sc3'!$C$67:$D$67</c:f>
              <c:numCache>
                <c:formatCode>General</c:formatCode>
                <c:ptCount val="2"/>
                <c:pt idx="0" formatCode="#,##0">
                  <c:v>0</c:v>
                </c:pt>
              </c:numCache>
            </c:numRef>
          </c:val>
          <c:extLst>
            <c:ext xmlns:c16="http://schemas.microsoft.com/office/drawing/2014/chart" uri="{C3380CC4-5D6E-409C-BE32-E72D297353CC}">
              <c16:uniqueId val="{00000004-9CEA-4869-87F8-14920BCD52E4}"/>
            </c:ext>
          </c:extLst>
        </c:ser>
        <c:ser>
          <c:idx val="5"/>
          <c:order val="5"/>
          <c:tx>
            <c:strRef>
              <c:f>'LCA Sc3'!$B$68</c:f>
              <c:strCache>
                <c:ptCount val="1"/>
                <c:pt idx="0">
                  <c:v>Ferrous Metals</c:v>
                </c:pt>
              </c:strCache>
            </c:strRef>
          </c:tx>
          <c:spPr>
            <a:solidFill>
              <a:srgbClr val="C0C0C0"/>
            </a:solidFill>
            <a:ln w="12700">
              <a:solidFill>
                <a:srgbClr val="000000"/>
              </a:solidFill>
              <a:prstDash val="solid"/>
            </a:ln>
          </c:spPr>
          <c:invertIfNegative val="0"/>
          <c:cat>
            <c:strRef>
              <c:f>'LCA Sc3'!$C$62:$D$62</c:f>
              <c:strCache>
                <c:ptCount val="2"/>
                <c:pt idx="0">
                  <c:v>Recycled waste</c:v>
                </c:pt>
                <c:pt idx="1">
                  <c:v>Net</c:v>
                </c:pt>
              </c:strCache>
            </c:strRef>
          </c:cat>
          <c:val>
            <c:numRef>
              <c:f>'LCA Sc3'!$C$68:$D$68</c:f>
              <c:numCache>
                <c:formatCode>General</c:formatCode>
                <c:ptCount val="2"/>
                <c:pt idx="0" formatCode="#,##0">
                  <c:v>0</c:v>
                </c:pt>
              </c:numCache>
            </c:numRef>
          </c:val>
          <c:extLst>
            <c:ext xmlns:c16="http://schemas.microsoft.com/office/drawing/2014/chart" uri="{C3380CC4-5D6E-409C-BE32-E72D297353CC}">
              <c16:uniqueId val="{00000005-9CEA-4869-87F8-14920BCD52E4}"/>
            </c:ext>
          </c:extLst>
        </c:ser>
        <c:ser>
          <c:idx val="6"/>
          <c:order val="6"/>
          <c:tx>
            <c:strRef>
              <c:f>'LCA Sc3'!$B$69</c:f>
              <c:strCache>
                <c:ptCount val="1"/>
                <c:pt idx="0">
                  <c:v>Aluminium</c:v>
                </c:pt>
              </c:strCache>
            </c:strRef>
          </c:tx>
          <c:spPr>
            <a:solidFill>
              <a:srgbClr val="993366"/>
            </a:solidFill>
            <a:ln w="12700">
              <a:solidFill>
                <a:srgbClr val="000000"/>
              </a:solidFill>
              <a:prstDash val="solid"/>
            </a:ln>
          </c:spPr>
          <c:invertIfNegative val="0"/>
          <c:cat>
            <c:strRef>
              <c:f>'LCA Sc3'!$C$62:$D$62</c:f>
              <c:strCache>
                <c:ptCount val="2"/>
                <c:pt idx="0">
                  <c:v>Recycled waste</c:v>
                </c:pt>
                <c:pt idx="1">
                  <c:v>Net</c:v>
                </c:pt>
              </c:strCache>
            </c:strRef>
          </c:cat>
          <c:val>
            <c:numRef>
              <c:f>'LCA Sc3'!$C$69:$D$69</c:f>
              <c:numCache>
                <c:formatCode>General</c:formatCode>
                <c:ptCount val="2"/>
                <c:pt idx="0" formatCode="#,##0">
                  <c:v>0</c:v>
                </c:pt>
              </c:numCache>
            </c:numRef>
          </c:val>
          <c:extLst>
            <c:ext xmlns:c16="http://schemas.microsoft.com/office/drawing/2014/chart" uri="{C3380CC4-5D6E-409C-BE32-E72D297353CC}">
              <c16:uniqueId val="{00000006-9CEA-4869-87F8-14920BCD52E4}"/>
            </c:ext>
          </c:extLst>
        </c:ser>
        <c:ser>
          <c:idx val="7"/>
          <c:order val="7"/>
          <c:tx>
            <c:strRef>
              <c:f>'LCA Sc3'!$B$70</c:f>
              <c:strCache>
                <c:ptCount val="1"/>
              </c:strCache>
            </c:strRef>
          </c:tx>
          <c:spPr>
            <a:solidFill>
              <a:srgbClr val="9999FF"/>
            </a:solidFill>
            <a:ln w="12700">
              <a:solidFill>
                <a:srgbClr val="000000"/>
              </a:solidFill>
              <a:prstDash val="solid"/>
            </a:ln>
          </c:spPr>
          <c:invertIfNegative val="0"/>
          <c:cat>
            <c:strRef>
              <c:f>'LCA Sc3'!$C$62:$D$62</c:f>
              <c:strCache>
                <c:ptCount val="2"/>
                <c:pt idx="0">
                  <c:v>Recycled waste</c:v>
                </c:pt>
                <c:pt idx="1">
                  <c:v>Net</c:v>
                </c:pt>
              </c:strCache>
            </c:strRef>
          </c:cat>
          <c:val>
            <c:numRef>
              <c:f>'LCA Sc3'!$C$70:$D$70</c:f>
              <c:numCache>
                <c:formatCode>General</c:formatCode>
                <c:ptCount val="2"/>
              </c:numCache>
            </c:numRef>
          </c:val>
          <c:extLst>
            <c:ext xmlns:c16="http://schemas.microsoft.com/office/drawing/2014/chart" uri="{C3380CC4-5D6E-409C-BE32-E72D297353CC}">
              <c16:uniqueId val="{00000007-9CEA-4869-87F8-14920BCD52E4}"/>
            </c:ext>
          </c:extLst>
        </c:ser>
        <c:ser>
          <c:idx val="8"/>
          <c:order val="8"/>
          <c:tx>
            <c:strRef>
              <c:f>'LCA Sc3'!$B$71</c:f>
              <c:strCache>
                <c:ptCount val="1"/>
                <c:pt idx="0">
                  <c:v>Debits</c:v>
                </c:pt>
              </c:strCache>
            </c:strRef>
          </c:tx>
          <c:spPr>
            <a:noFill/>
            <a:ln w="25400">
              <a:noFill/>
            </a:ln>
          </c:spPr>
          <c:invertIfNegative val="0"/>
          <c:cat>
            <c:strRef>
              <c:f>'LCA Sc3'!$C$62:$D$62</c:f>
              <c:strCache>
                <c:ptCount val="2"/>
                <c:pt idx="0">
                  <c:v>Recycled waste</c:v>
                </c:pt>
                <c:pt idx="1">
                  <c:v>Net</c:v>
                </c:pt>
              </c:strCache>
            </c:strRef>
          </c:cat>
          <c:val>
            <c:numRef>
              <c:f>'LCA Sc3'!$C$71:$D$71</c:f>
              <c:numCache>
                <c:formatCode>#,##0</c:formatCode>
                <c:ptCount val="2"/>
              </c:numCache>
            </c:numRef>
          </c:val>
          <c:extLst>
            <c:ext xmlns:c16="http://schemas.microsoft.com/office/drawing/2014/chart" uri="{C3380CC4-5D6E-409C-BE32-E72D297353CC}">
              <c16:uniqueId val="{00000008-9CEA-4869-87F8-14920BCD52E4}"/>
            </c:ext>
          </c:extLst>
        </c:ser>
        <c:ser>
          <c:idx val="9"/>
          <c:order val="9"/>
          <c:tx>
            <c:strRef>
              <c:f>'LCA Sc3'!$B$72</c:f>
              <c:strCache>
                <c:ptCount val="1"/>
                <c:pt idx="0">
                  <c:v>Food waste</c:v>
                </c:pt>
              </c:strCache>
            </c:strRef>
          </c:tx>
          <c:spPr>
            <a:pattFill prst="wdDn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Sc3'!$C$72:$D$72</c:f>
              <c:numCache>
                <c:formatCode>General</c:formatCode>
                <c:ptCount val="2"/>
                <c:pt idx="0" formatCode="#,##0">
                  <c:v>0</c:v>
                </c:pt>
              </c:numCache>
            </c:numRef>
          </c:val>
          <c:extLst>
            <c:ext xmlns:c16="http://schemas.microsoft.com/office/drawing/2014/chart" uri="{C3380CC4-5D6E-409C-BE32-E72D297353CC}">
              <c16:uniqueId val="{00000009-9CEA-4869-87F8-14920BCD52E4}"/>
            </c:ext>
          </c:extLst>
        </c:ser>
        <c:ser>
          <c:idx val="10"/>
          <c:order val="10"/>
          <c:tx>
            <c:strRef>
              <c:f>'LCA Sc3'!$B$73</c:f>
              <c:strCache>
                <c:ptCount val="1"/>
                <c:pt idx="0">
                  <c:v>Garden and Park waste</c:v>
                </c:pt>
              </c:strCache>
            </c:strRef>
          </c:tx>
          <c:spPr>
            <a:pattFill prst="wdUpDiag">
              <a:fgClr>
                <a:srgbClr xmlns:mc="http://schemas.openxmlformats.org/markup-compatibility/2006" xmlns:a14="http://schemas.microsoft.com/office/drawing/2010/main" val="000080" mc:Ignorable="a14" a14:legacySpreadsheetColorIndex="3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Sc3'!$C$73:$D$73</c:f>
              <c:numCache>
                <c:formatCode>General</c:formatCode>
                <c:ptCount val="2"/>
                <c:pt idx="0" formatCode="#,##0">
                  <c:v>0</c:v>
                </c:pt>
              </c:numCache>
            </c:numRef>
          </c:val>
          <c:extLst>
            <c:ext xmlns:c16="http://schemas.microsoft.com/office/drawing/2014/chart" uri="{C3380CC4-5D6E-409C-BE32-E72D297353CC}">
              <c16:uniqueId val="{0000000A-9CEA-4869-87F8-14920BCD52E4}"/>
            </c:ext>
          </c:extLst>
        </c:ser>
        <c:ser>
          <c:idx val="11"/>
          <c:order val="11"/>
          <c:tx>
            <c:strRef>
              <c:f>'LCA Sc3'!$B$74</c:f>
              <c:strCache>
                <c:ptCount val="1"/>
                <c:pt idx="0">
                  <c:v>Paper, cardboard</c:v>
                </c:pt>
              </c:strCache>
            </c:strRef>
          </c:tx>
          <c:spPr>
            <a:pattFill prst="wdDnDiag">
              <a:fgClr>
                <a:srgbClr xmlns:mc="http://schemas.openxmlformats.org/markup-compatibility/2006" xmlns:a14="http://schemas.microsoft.com/office/drawing/2010/main" val="CC99FF" mc:Ignorable="a14" a14:legacySpreadsheetColorIndex="46"/>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Sc3'!$C$74:$D$74</c:f>
              <c:numCache>
                <c:formatCode>General</c:formatCode>
                <c:ptCount val="2"/>
                <c:pt idx="0" formatCode="#,##0">
                  <c:v>0</c:v>
                </c:pt>
              </c:numCache>
            </c:numRef>
          </c:val>
          <c:extLst>
            <c:ext xmlns:c16="http://schemas.microsoft.com/office/drawing/2014/chart" uri="{C3380CC4-5D6E-409C-BE32-E72D297353CC}">
              <c16:uniqueId val="{0000000B-9CEA-4869-87F8-14920BCD52E4}"/>
            </c:ext>
          </c:extLst>
        </c:ser>
        <c:ser>
          <c:idx val="12"/>
          <c:order val="12"/>
          <c:tx>
            <c:strRef>
              <c:f>'LCA Sc3'!$B$75</c:f>
              <c:strCache>
                <c:ptCount val="1"/>
                <c:pt idx="0">
                  <c:v>Plastics</c:v>
                </c:pt>
              </c:strCache>
            </c:strRef>
          </c:tx>
          <c:spPr>
            <a:pattFill prst="wdUpDiag">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Sc3'!$C$75:$D$75</c:f>
              <c:numCache>
                <c:formatCode>General</c:formatCode>
                <c:ptCount val="2"/>
                <c:pt idx="0" formatCode="#,##0">
                  <c:v>0</c:v>
                </c:pt>
              </c:numCache>
            </c:numRef>
          </c:val>
          <c:extLst>
            <c:ext xmlns:c16="http://schemas.microsoft.com/office/drawing/2014/chart" uri="{C3380CC4-5D6E-409C-BE32-E72D297353CC}">
              <c16:uniqueId val="{0000000C-9CEA-4869-87F8-14920BCD52E4}"/>
            </c:ext>
          </c:extLst>
        </c:ser>
        <c:ser>
          <c:idx val="13"/>
          <c:order val="13"/>
          <c:tx>
            <c:strRef>
              <c:f>'LCA Sc3'!$B$76</c:f>
              <c:strCache>
                <c:ptCount val="1"/>
                <c:pt idx="0">
                  <c:v>Glass</c:v>
                </c:pt>
              </c:strCache>
            </c:strRef>
          </c:tx>
          <c:spPr>
            <a:pattFill prst="wdDn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Sc3'!$C$76:$D$76</c:f>
              <c:numCache>
                <c:formatCode>General</c:formatCode>
                <c:ptCount val="2"/>
                <c:pt idx="0" formatCode="#,##0">
                  <c:v>0</c:v>
                </c:pt>
              </c:numCache>
            </c:numRef>
          </c:val>
          <c:extLst>
            <c:ext xmlns:c16="http://schemas.microsoft.com/office/drawing/2014/chart" uri="{C3380CC4-5D6E-409C-BE32-E72D297353CC}">
              <c16:uniqueId val="{0000000D-9CEA-4869-87F8-14920BCD52E4}"/>
            </c:ext>
          </c:extLst>
        </c:ser>
        <c:ser>
          <c:idx val="14"/>
          <c:order val="14"/>
          <c:tx>
            <c:strRef>
              <c:f>'LCA Sc3'!$B$77</c:f>
              <c:strCache>
                <c:ptCount val="1"/>
                <c:pt idx="0">
                  <c:v>Ferrous Metals</c:v>
                </c:pt>
              </c:strCache>
            </c:strRef>
          </c:tx>
          <c:spPr>
            <a:pattFill prst="wdUp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Sc3'!$C$77:$D$77</c:f>
              <c:numCache>
                <c:formatCode>General</c:formatCode>
                <c:ptCount val="2"/>
                <c:pt idx="0" formatCode="#,##0">
                  <c:v>0</c:v>
                </c:pt>
              </c:numCache>
            </c:numRef>
          </c:val>
          <c:extLst>
            <c:ext xmlns:c16="http://schemas.microsoft.com/office/drawing/2014/chart" uri="{C3380CC4-5D6E-409C-BE32-E72D297353CC}">
              <c16:uniqueId val="{0000000E-9CEA-4869-87F8-14920BCD52E4}"/>
            </c:ext>
          </c:extLst>
        </c:ser>
        <c:ser>
          <c:idx val="15"/>
          <c:order val="15"/>
          <c:tx>
            <c:strRef>
              <c:f>'LCA Sc3'!$B$78</c:f>
              <c:strCache>
                <c:ptCount val="1"/>
                <c:pt idx="0">
                  <c:v>Aluminium</c:v>
                </c:pt>
              </c:strCache>
            </c:strRef>
          </c:tx>
          <c:spPr>
            <a:pattFill prst="wd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Sc3'!$C$78:$D$78</c:f>
              <c:numCache>
                <c:formatCode>General</c:formatCode>
                <c:ptCount val="2"/>
                <c:pt idx="0" formatCode="#,##0">
                  <c:v>0</c:v>
                </c:pt>
              </c:numCache>
            </c:numRef>
          </c:val>
          <c:extLst>
            <c:ext xmlns:c16="http://schemas.microsoft.com/office/drawing/2014/chart" uri="{C3380CC4-5D6E-409C-BE32-E72D297353CC}">
              <c16:uniqueId val="{0000000F-9CEA-4869-87F8-14920BCD52E4}"/>
            </c:ext>
          </c:extLst>
        </c:ser>
        <c:ser>
          <c:idx val="16"/>
          <c:order val="16"/>
          <c:tx>
            <c:strRef>
              <c:f>'LCA Sc3'!$B$79</c:f>
              <c:strCache>
                <c:ptCount val="1"/>
              </c:strCache>
            </c:strRef>
          </c:tx>
          <c:spPr>
            <a:pattFill prst="wdUpDiag">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Sc3'!$C$62:$D$62</c:f>
              <c:strCache>
                <c:ptCount val="2"/>
                <c:pt idx="0">
                  <c:v>Recycled waste</c:v>
                </c:pt>
                <c:pt idx="1">
                  <c:v>Net</c:v>
                </c:pt>
              </c:strCache>
            </c:strRef>
          </c:cat>
          <c:val>
            <c:numRef>
              <c:f>'LCA Sc3'!$C$79:$D$79</c:f>
              <c:numCache>
                <c:formatCode>General</c:formatCode>
                <c:ptCount val="2"/>
              </c:numCache>
            </c:numRef>
          </c:val>
          <c:extLst>
            <c:ext xmlns:c16="http://schemas.microsoft.com/office/drawing/2014/chart" uri="{C3380CC4-5D6E-409C-BE32-E72D297353CC}">
              <c16:uniqueId val="{00000010-9CEA-4869-87F8-14920BCD52E4}"/>
            </c:ext>
          </c:extLst>
        </c:ser>
        <c:ser>
          <c:idx val="17"/>
          <c:order val="17"/>
          <c:tx>
            <c:strRef>
              <c:f>'LCA Sc3'!$B$80</c:f>
              <c:strCache>
                <c:ptCount val="1"/>
                <c:pt idx="0">
                  <c:v>Credits</c:v>
                </c:pt>
              </c:strCache>
            </c:strRef>
          </c:tx>
          <c:spPr>
            <a:noFill/>
            <a:ln w="25400">
              <a:noFill/>
            </a:ln>
          </c:spPr>
          <c:invertIfNegative val="0"/>
          <c:cat>
            <c:strRef>
              <c:f>'LCA Sc3'!$C$62:$D$62</c:f>
              <c:strCache>
                <c:ptCount val="2"/>
                <c:pt idx="0">
                  <c:v>Recycled waste</c:v>
                </c:pt>
                <c:pt idx="1">
                  <c:v>Net</c:v>
                </c:pt>
              </c:strCache>
            </c:strRef>
          </c:cat>
          <c:val>
            <c:numRef>
              <c:f>'LCA Sc3'!$C$80:$D$80</c:f>
              <c:numCache>
                <c:formatCode>#,##0</c:formatCode>
                <c:ptCount val="2"/>
              </c:numCache>
            </c:numRef>
          </c:val>
          <c:extLst>
            <c:ext xmlns:c16="http://schemas.microsoft.com/office/drawing/2014/chart" uri="{C3380CC4-5D6E-409C-BE32-E72D297353CC}">
              <c16:uniqueId val="{00000011-9CEA-4869-87F8-14920BCD52E4}"/>
            </c:ext>
          </c:extLst>
        </c:ser>
        <c:ser>
          <c:idx val="18"/>
          <c:order val="18"/>
          <c:tx>
            <c:strRef>
              <c:f>'LCA Sc3'!$B$81</c:f>
              <c:strCache>
                <c:ptCount val="1"/>
                <c:pt idx="0">
                  <c:v>Net</c:v>
                </c:pt>
              </c:strCache>
            </c:strRef>
          </c:tx>
          <c:spPr>
            <a:solidFill>
              <a:srgbClr val="0000FF"/>
            </a:solidFill>
            <a:ln w="12700">
              <a:solidFill>
                <a:srgbClr val="000000"/>
              </a:solidFill>
              <a:prstDash val="solid"/>
            </a:ln>
          </c:spPr>
          <c:invertIfNegative val="0"/>
          <c:cat>
            <c:strRef>
              <c:f>'LCA Sc3'!$C$62:$D$62</c:f>
              <c:strCache>
                <c:ptCount val="2"/>
                <c:pt idx="0">
                  <c:v>Recycled waste</c:v>
                </c:pt>
                <c:pt idx="1">
                  <c:v>Net</c:v>
                </c:pt>
              </c:strCache>
            </c:strRef>
          </c:cat>
          <c:val>
            <c:numRef>
              <c:f>'LCA Sc3'!$C$81:$D$81</c:f>
              <c:numCache>
                <c:formatCode>#,##0</c:formatCode>
                <c:ptCount val="2"/>
                <c:pt idx="1">
                  <c:v>0</c:v>
                </c:pt>
              </c:numCache>
            </c:numRef>
          </c:val>
          <c:extLst>
            <c:ext xmlns:c16="http://schemas.microsoft.com/office/drawing/2014/chart" uri="{C3380CC4-5D6E-409C-BE32-E72D297353CC}">
              <c16:uniqueId val="{00000012-9CEA-4869-87F8-14920BCD52E4}"/>
            </c:ext>
          </c:extLst>
        </c:ser>
        <c:dLbls>
          <c:showLegendKey val="0"/>
          <c:showVal val="0"/>
          <c:showCatName val="0"/>
          <c:showSerName val="0"/>
          <c:showPercent val="0"/>
          <c:showBubbleSize val="0"/>
        </c:dLbls>
        <c:gapWidth val="100"/>
        <c:overlap val="100"/>
        <c:axId val="562548344"/>
        <c:axId val="1"/>
      </c:barChart>
      <c:catAx>
        <c:axId val="562548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tonne CO2e/yr</a:t>
                </a:r>
              </a:p>
            </c:rich>
          </c:tx>
          <c:layout>
            <c:manualLayout>
              <c:xMode val="edge"/>
              <c:yMode val="edge"/>
              <c:x val="3.5377399231416785E-2"/>
              <c:y val="0.348973607038123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2548344"/>
        <c:crosses val="autoZero"/>
        <c:crossBetween val="between"/>
      </c:valAx>
      <c:spPr>
        <a:noFill/>
        <a:ln w="12700">
          <a:solidFill>
            <a:srgbClr val="808080"/>
          </a:solidFill>
          <a:prstDash val="solid"/>
        </a:ln>
      </c:spPr>
    </c:plotArea>
    <c:legend>
      <c:legendPos val="r"/>
      <c:legendEntry>
        <c:idx val="0"/>
        <c:txPr>
          <a:bodyPr/>
          <a:lstStyle/>
          <a:p>
            <a:pPr>
              <a:defRPr sz="755" b="1" i="0" u="none" strike="noStrike" baseline="0">
                <a:solidFill>
                  <a:srgbClr val="000000"/>
                </a:solidFill>
                <a:latin typeface="Arial"/>
                <a:ea typeface="Arial"/>
                <a:cs typeface="Arial"/>
              </a:defRPr>
            </a:pPr>
            <a:endParaRPr lang="de-DE"/>
          </a:p>
        </c:txPr>
      </c:legendEntry>
      <c:legendEntry>
        <c:idx val="1"/>
        <c:txPr>
          <a:bodyPr/>
          <a:lstStyle/>
          <a:p>
            <a:pPr>
              <a:defRPr sz="755" b="1" i="0" u="none" strike="noStrike" baseline="0">
                <a:solidFill>
                  <a:srgbClr val="000000"/>
                </a:solidFill>
                <a:latin typeface="Arial"/>
                <a:ea typeface="Arial"/>
                <a:cs typeface="Arial"/>
              </a:defRPr>
            </a:pPr>
            <a:endParaRPr lang="de-DE"/>
          </a:p>
        </c:txPr>
      </c:legendEntry>
      <c:legendEntry>
        <c:idx val="2"/>
        <c:delete val="1"/>
      </c:legendEntry>
      <c:legendEntry>
        <c:idx val="4"/>
        <c:txPr>
          <a:bodyPr/>
          <a:lstStyle/>
          <a:p>
            <a:pPr>
              <a:defRPr sz="755" b="0" i="0" u="none" strike="noStrike" baseline="0">
                <a:solidFill>
                  <a:srgbClr val="000000"/>
                </a:solidFill>
                <a:latin typeface="Arial"/>
                <a:ea typeface="Arial"/>
                <a:cs typeface="Arial"/>
              </a:defRPr>
            </a:pPr>
            <a:endParaRPr lang="de-DE"/>
          </a:p>
        </c:txPr>
      </c:legendEntry>
      <c:legendEntry>
        <c:idx val="5"/>
        <c:txPr>
          <a:bodyPr/>
          <a:lstStyle/>
          <a:p>
            <a:pPr>
              <a:defRPr sz="755" b="0" i="0" u="none" strike="noStrike" baseline="0">
                <a:solidFill>
                  <a:srgbClr val="000000"/>
                </a:solidFill>
                <a:latin typeface="Arial"/>
                <a:ea typeface="Arial"/>
                <a:cs typeface="Arial"/>
              </a:defRPr>
            </a:pPr>
            <a:endParaRPr lang="de-DE"/>
          </a:p>
        </c:txPr>
      </c:legendEntry>
      <c:legendEntry>
        <c:idx val="6"/>
        <c:txPr>
          <a:bodyPr/>
          <a:lstStyle/>
          <a:p>
            <a:pPr>
              <a:defRPr sz="755" b="0" i="0" u="none" strike="noStrike" baseline="0">
                <a:solidFill>
                  <a:srgbClr val="000000"/>
                </a:solidFill>
                <a:latin typeface="Arial"/>
                <a:ea typeface="Arial"/>
                <a:cs typeface="Arial"/>
              </a:defRPr>
            </a:pPr>
            <a:endParaRPr lang="de-DE"/>
          </a:p>
        </c:txPr>
      </c:legendEntry>
      <c:legendEntry>
        <c:idx val="7"/>
        <c:txPr>
          <a:bodyPr/>
          <a:lstStyle/>
          <a:p>
            <a:pPr>
              <a:defRPr sz="755" b="0" i="0" u="none" strike="noStrike" baseline="0">
                <a:solidFill>
                  <a:srgbClr val="000000"/>
                </a:solidFill>
                <a:latin typeface="Arial"/>
                <a:ea typeface="Arial"/>
                <a:cs typeface="Arial"/>
              </a:defRPr>
            </a:pPr>
            <a:endParaRPr lang="de-DE"/>
          </a:p>
        </c:txPr>
      </c:legendEntry>
      <c:legendEntry>
        <c:idx val="9"/>
        <c:txPr>
          <a:bodyPr/>
          <a:lstStyle/>
          <a:p>
            <a:pPr>
              <a:defRPr sz="755" b="0" i="0" u="none" strike="noStrike" baseline="0">
                <a:solidFill>
                  <a:srgbClr val="000000"/>
                </a:solidFill>
                <a:latin typeface="Arial"/>
                <a:ea typeface="Arial"/>
                <a:cs typeface="Arial"/>
              </a:defRPr>
            </a:pPr>
            <a:endParaRPr lang="de-DE"/>
          </a:p>
        </c:txPr>
      </c:legendEntry>
      <c:legendEntry>
        <c:idx val="10"/>
        <c:txPr>
          <a:bodyPr/>
          <a:lstStyle/>
          <a:p>
            <a:pPr>
              <a:defRPr sz="755" b="1" i="0" u="none" strike="noStrike" baseline="0">
                <a:solidFill>
                  <a:srgbClr val="000000"/>
                </a:solidFill>
                <a:latin typeface="Arial"/>
                <a:ea typeface="Arial"/>
                <a:cs typeface="Arial"/>
              </a:defRPr>
            </a:pPr>
            <a:endParaRPr lang="de-DE"/>
          </a:p>
        </c:txPr>
      </c:legendEntry>
      <c:legendEntry>
        <c:idx val="11"/>
        <c:delete val="1"/>
      </c:legendEntry>
      <c:legendEntry>
        <c:idx val="12"/>
        <c:txPr>
          <a:bodyPr/>
          <a:lstStyle/>
          <a:p>
            <a:pPr>
              <a:defRPr sz="755" b="0" i="0" u="none" strike="noStrike" baseline="0">
                <a:solidFill>
                  <a:srgbClr val="000000"/>
                </a:solidFill>
                <a:latin typeface="Arial"/>
                <a:ea typeface="Arial"/>
                <a:cs typeface="Arial"/>
              </a:defRPr>
            </a:pPr>
            <a:endParaRPr lang="de-DE"/>
          </a:p>
        </c:txPr>
      </c:legendEntry>
      <c:legendEntry>
        <c:idx val="13"/>
        <c:txPr>
          <a:bodyPr/>
          <a:lstStyle/>
          <a:p>
            <a:pPr>
              <a:defRPr sz="755" b="0" i="0" u="none" strike="noStrike" baseline="0">
                <a:solidFill>
                  <a:srgbClr val="000000"/>
                </a:solidFill>
                <a:latin typeface="Arial"/>
                <a:ea typeface="Arial"/>
                <a:cs typeface="Arial"/>
              </a:defRPr>
            </a:pPr>
            <a:endParaRPr lang="de-DE"/>
          </a:p>
        </c:txPr>
      </c:legendEntry>
      <c:layout>
        <c:manualLayout>
          <c:xMode val="edge"/>
          <c:yMode val="edge"/>
          <c:x val="0.67452907867901346"/>
          <c:y val="1.466275659824047E-2"/>
          <c:w val="0.31367960651856219"/>
          <c:h val="0.9765395894428152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GHG emissions</a:t>
            </a:r>
          </a:p>
        </c:rich>
      </c:tx>
      <c:layout>
        <c:manualLayout>
          <c:xMode val="edge"/>
          <c:yMode val="edge"/>
          <c:x val="0.40000078914297099"/>
          <c:y val="1.358695652173913E-2"/>
        </c:manualLayout>
      </c:layout>
      <c:overlay val="0"/>
      <c:spPr>
        <a:noFill/>
        <a:ln w="25400">
          <a:noFill/>
        </a:ln>
      </c:spPr>
    </c:title>
    <c:autoTitleDeleted val="0"/>
    <c:plotArea>
      <c:layout>
        <c:manualLayout>
          <c:layoutTarget val="inner"/>
          <c:xMode val="edge"/>
          <c:yMode val="edge"/>
          <c:x val="0.19393977655416775"/>
          <c:y val="8.9673913043478257E-2"/>
          <c:w val="0.77373890021089842"/>
          <c:h val="0.79619565217391308"/>
        </c:manualLayout>
      </c:layout>
      <c:barChart>
        <c:barDir val="col"/>
        <c:grouping val="clustered"/>
        <c:varyColors val="0"/>
        <c:ser>
          <c:idx val="0"/>
          <c:order val="0"/>
          <c:tx>
            <c:strRef>
              <c:f>'LCA Sc3'!$G$54</c:f>
              <c:strCache>
                <c:ptCount val="1"/>
                <c:pt idx="0">
                  <c:v> Debits</c:v>
                </c:pt>
              </c:strCache>
            </c:strRef>
          </c:tx>
          <c:spPr>
            <a:solidFill>
              <a:srgbClr val="FFCC99"/>
            </a:solidFill>
            <a:ln w="12700">
              <a:solidFill>
                <a:srgbClr val="000000"/>
              </a:solidFill>
              <a:prstDash val="solid"/>
            </a:ln>
          </c:spPr>
          <c:invertIfNegative val="0"/>
          <c:cat>
            <c:strRef>
              <c:f>'LCA Sc3'!$H$53:$J$53</c:f>
              <c:strCache>
                <c:ptCount val="3"/>
                <c:pt idx="0">
                  <c:v>Recycled waste</c:v>
                </c:pt>
                <c:pt idx="1">
                  <c:v>Disposed of waste</c:v>
                </c:pt>
                <c:pt idx="2">
                  <c:v>Total MSW</c:v>
                </c:pt>
              </c:strCache>
            </c:strRef>
          </c:cat>
          <c:val>
            <c:numRef>
              <c:f>'LCA Sc3'!$H$54:$J$54</c:f>
              <c:numCache>
                <c:formatCode>#,##0</c:formatCode>
                <c:ptCount val="3"/>
                <c:pt idx="0">
                  <c:v>0</c:v>
                </c:pt>
                <c:pt idx="1">
                  <c:v>0</c:v>
                </c:pt>
                <c:pt idx="2">
                  <c:v>0</c:v>
                </c:pt>
              </c:numCache>
            </c:numRef>
          </c:val>
          <c:extLst>
            <c:ext xmlns:c16="http://schemas.microsoft.com/office/drawing/2014/chart" uri="{C3380CC4-5D6E-409C-BE32-E72D297353CC}">
              <c16:uniqueId val="{00000000-57C3-401E-A772-91B98DA6558C}"/>
            </c:ext>
          </c:extLst>
        </c:ser>
        <c:ser>
          <c:idx val="1"/>
          <c:order val="1"/>
          <c:tx>
            <c:strRef>
              <c:f>'LCA Sc3'!$G$55</c:f>
              <c:strCache>
                <c:ptCount val="1"/>
                <c:pt idx="0">
                  <c:v> Credits</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cat>
            <c:strRef>
              <c:f>'LCA Sc3'!$H$53:$J$53</c:f>
              <c:strCache>
                <c:ptCount val="3"/>
                <c:pt idx="0">
                  <c:v>Recycled waste</c:v>
                </c:pt>
                <c:pt idx="1">
                  <c:v>Disposed of waste</c:v>
                </c:pt>
                <c:pt idx="2">
                  <c:v>Total MSW</c:v>
                </c:pt>
              </c:strCache>
            </c:strRef>
          </c:cat>
          <c:val>
            <c:numRef>
              <c:f>'LCA Sc3'!$H$55:$J$55</c:f>
              <c:numCache>
                <c:formatCode>#,##0</c:formatCode>
                <c:ptCount val="3"/>
                <c:pt idx="0">
                  <c:v>0</c:v>
                </c:pt>
                <c:pt idx="1">
                  <c:v>0</c:v>
                </c:pt>
                <c:pt idx="2">
                  <c:v>0</c:v>
                </c:pt>
              </c:numCache>
            </c:numRef>
          </c:val>
          <c:extLst>
            <c:ext xmlns:c16="http://schemas.microsoft.com/office/drawing/2014/chart" uri="{C3380CC4-5D6E-409C-BE32-E72D297353CC}">
              <c16:uniqueId val="{00000001-57C3-401E-A772-91B98DA6558C}"/>
            </c:ext>
          </c:extLst>
        </c:ser>
        <c:ser>
          <c:idx val="2"/>
          <c:order val="2"/>
          <c:tx>
            <c:strRef>
              <c:f>'LCA Sc3'!$G$56</c:f>
              <c:strCache>
                <c:ptCount val="1"/>
                <c:pt idx="0">
                  <c:v> Net</c:v>
                </c:pt>
              </c:strCache>
            </c:strRef>
          </c:tx>
          <c:spPr>
            <a:solidFill>
              <a:srgbClr val="0000FF"/>
            </a:solidFill>
            <a:ln w="12700">
              <a:solidFill>
                <a:srgbClr val="000000"/>
              </a:solidFill>
              <a:prstDash val="solid"/>
            </a:ln>
          </c:spPr>
          <c:invertIfNegative val="0"/>
          <c:cat>
            <c:strRef>
              <c:f>'LCA Sc3'!$H$53:$J$53</c:f>
              <c:strCache>
                <c:ptCount val="3"/>
                <c:pt idx="0">
                  <c:v>Recycled waste</c:v>
                </c:pt>
                <c:pt idx="1">
                  <c:v>Disposed of waste</c:v>
                </c:pt>
                <c:pt idx="2">
                  <c:v>Total MSW</c:v>
                </c:pt>
              </c:strCache>
            </c:strRef>
          </c:cat>
          <c:val>
            <c:numRef>
              <c:f>'LCA Sc3'!$H$56:$J$56</c:f>
              <c:numCache>
                <c:formatCode>#,##0</c:formatCode>
                <c:ptCount val="3"/>
                <c:pt idx="0">
                  <c:v>0</c:v>
                </c:pt>
                <c:pt idx="1">
                  <c:v>0</c:v>
                </c:pt>
                <c:pt idx="2">
                  <c:v>0</c:v>
                </c:pt>
              </c:numCache>
            </c:numRef>
          </c:val>
          <c:extLst>
            <c:ext xmlns:c16="http://schemas.microsoft.com/office/drawing/2014/chart" uri="{C3380CC4-5D6E-409C-BE32-E72D297353CC}">
              <c16:uniqueId val="{00000002-57C3-401E-A772-91B98DA6558C}"/>
            </c:ext>
          </c:extLst>
        </c:ser>
        <c:dLbls>
          <c:showLegendKey val="0"/>
          <c:showVal val="0"/>
          <c:showCatName val="0"/>
          <c:showSerName val="0"/>
          <c:showPercent val="0"/>
          <c:showBubbleSize val="0"/>
        </c:dLbls>
        <c:gapWidth val="100"/>
        <c:axId val="560926696"/>
        <c:axId val="1"/>
      </c:barChart>
      <c:catAx>
        <c:axId val="560926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tonne CO2e/yr</a:t>
                </a:r>
              </a:p>
            </c:rich>
          </c:tx>
          <c:layout>
            <c:manualLayout>
              <c:xMode val="edge"/>
              <c:yMode val="edge"/>
              <c:x val="1.0101030028862904E-2"/>
              <c:y val="0.3369565217391304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0926696"/>
        <c:crosses val="autoZero"/>
        <c:crossBetween val="between"/>
      </c:valAx>
      <c:spPr>
        <a:noFill/>
        <a:ln w="3175">
          <a:solidFill>
            <a:srgbClr val="000000"/>
          </a:solidFill>
          <a:prstDash val="solid"/>
        </a:ln>
      </c:spPr>
    </c:plotArea>
    <c:legend>
      <c:legendPos val="r"/>
      <c:layout>
        <c:manualLayout>
          <c:xMode val="edge"/>
          <c:yMode val="edge"/>
          <c:x val="0.22603873895228749"/>
          <c:y val="0.11684778772672656"/>
          <c:w val="0.19595998255994035"/>
          <c:h val="0.1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disposal</a:t>
            </a:r>
          </a:p>
        </c:rich>
      </c:tx>
      <c:layout>
        <c:manualLayout>
          <c:xMode val="edge"/>
          <c:yMode val="edge"/>
          <c:x val="0.28634392030036859"/>
          <c:y val="1.3927576601671309E-2"/>
        </c:manualLayout>
      </c:layout>
      <c:overlay val="0"/>
      <c:spPr>
        <a:noFill/>
        <a:ln w="25400">
          <a:noFill/>
        </a:ln>
      </c:spPr>
    </c:title>
    <c:autoTitleDeleted val="0"/>
    <c:plotArea>
      <c:layout>
        <c:manualLayout>
          <c:layoutTarget val="inner"/>
          <c:xMode val="edge"/>
          <c:yMode val="edge"/>
          <c:x val="0.2136566174548904"/>
          <c:y val="0.10863509749303621"/>
          <c:w val="0.50440582883680307"/>
          <c:h val="0.77158774373259054"/>
        </c:manualLayout>
      </c:layout>
      <c:barChart>
        <c:barDir val="col"/>
        <c:grouping val="stacked"/>
        <c:varyColors val="0"/>
        <c:ser>
          <c:idx val="0"/>
          <c:order val="0"/>
          <c:tx>
            <c:strRef>
              <c:f>'LCA Sc3'!$K$63</c:f>
              <c:strCache>
                <c:ptCount val="1"/>
                <c:pt idx="0">
                  <c:v>Scattered</c:v>
                </c:pt>
              </c:strCache>
            </c:strRef>
          </c:tx>
          <c:spPr>
            <a:solidFill>
              <a:srgbClr val="FFFFFF"/>
            </a:solidFill>
            <a:ln w="12700">
              <a:solidFill>
                <a:srgbClr val="000000"/>
              </a:solidFill>
              <a:prstDash val="solid"/>
            </a:ln>
          </c:spPr>
          <c:invertIfNegative val="0"/>
          <c:cat>
            <c:strRef>
              <c:f>'LCA Sc3'!$L$62:$M$62</c:f>
              <c:strCache>
                <c:ptCount val="2"/>
                <c:pt idx="0">
                  <c:v>Disposed of waste</c:v>
                </c:pt>
                <c:pt idx="1">
                  <c:v>Net</c:v>
                </c:pt>
              </c:strCache>
            </c:strRef>
          </c:cat>
          <c:val>
            <c:numRef>
              <c:f>'LCA Sc3'!$L$63:$M$63</c:f>
              <c:numCache>
                <c:formatCode>General</c:formatCode>
                <c:ptCount val="2"/>
                <c:pt idx="0" formatCode="#,##0">
                  <c:v>0</c:v>
                </c:pt>
              </c:numCache>
            </c:numRef>
          </c:val>
          <c:extLst>
            <c:ext xmlns:c16="http://schemas.microsoft.com/office/drawing/2014/chart" uri="{C3380CC4-5D6E-409C-BE32-E72D297353CC}">
              <c16:uniqueId val="{00000000-D3C8-403A-BC2B-D58DD1B66952}"/>
            </c:ext>
          </c:extLst>
        </c:ser>
        <c:ser>
          <c:idx val="1"/>
          <c:order val="1"/>
          <c:tx>
            <c:strRef>
              <c:f>'LCA Sc3'!$K$64</c:f>
              <c:strCache>
                <c:ptCount val="1"/>
                <c:pt idx="0">
                  <c:v>Burned-open</c:v>
                </c:pt>
              </c:strCache>
            </c:strRef>
          </c:tx>
          <c:spPr>
            <a:solidFill>
              <a:srgbClr val="FF8080"/>
            </a:solidFill>
            <a:ln w="12700">
              <a:solidFill>
                <a:srgbClr val="000000"/>
              </a:solidFill>
              <a:prstDash val="solid"/>
            </a:ln>
          </c:spPr>
          <c:invertIfNegative val="0"/>
          <c:cat>
            <c:strRef>
              <c:f>'LCA Sc3'!$L$62:$M$62</c:f>
              <c:strCache>
                <c:ptCount val="2"/>
                <c:pt idx="0">
                  <c:v>Disposed of waste</c:v>
                </c:pt>
                <c:pt idx="1">
                  <c:v>Net</c:v>
                </c:pt>
              </c:strCache>
            </c:strRef>
          </c:cat>
          <c:val>
            <c:numRef>
              <c:f>'LCA Sc3'!$L$64:$M$64</c:f>
              <c:numCache>
                <c:formatCode>General</c:formatCode>
                <c:ptCount val="2"/>
                <c:pt idx="0" formatCode="#,##0">
                  <c:v>0</c:v>
                </c:pt>
              </c:numCache>
            </c:numRef>
          </c:val>
          <c:extLst>
            <c:ext xmlns:c16="http://schemas.microsoft.com/office/drawing/2014/chart" uri="{C3380CC4-5D6E-409C-BE32-E72D297353CC}">
              <c16:uniqueId val="{00000001-D3C8-403A-BC2B-D58DD1B66952}"/>
            </c:ext>
          </c:extLst>
        </c:ser>
        <c:ser>
          <c:idx val="2"/>
          <c:order val="2"/>
          <c:tx>
            <c:strRef>
              <c:f>'LCA Sc3'!$K$65</c:f>
              <c:strCache>
                <c:ptCount val="1"/>
                <c:pt idx="0">
                  <c:v>Wild dump</c:v>
                </c:pt>
              </c:strCache>
            </c:strRef>
          </c:tx>
          <c:spPr>
            <a:solidFill>
              <a:srgbClr val="993300"/>
            </a:solidFill>
            <a:ln w="12700">
              <a:solidFill>
                <a:srgbClr val="000000"/>
              </a:solidFill>
              <a:prstDash val="solid"/>
            </a:ln>
          </c:spPr>
          <c:invertIfNegative val="0"/>
          <c:cat>
            <c:strRef>
              <c:f>'LCA Sc3'!$L$62:$M$62</c:f>
              <c:strCache>
                <c:ptCount val="2"/>
                <c:pt idx="0">
                  <c:v>Disposed of waste</c:v>
                </c:pt>
                <c:pt idx="1">
                  <c:v>Net</c:v>
                </c:pt>
              </c:strCache>
            </c:strRef>
          </c:cat>
          <c:val>
            <c:numRef>
              <c:f>'LCA Sc3'!$L$65:$M$65</c:f>
              <c:numCache>
                <c:formatCode>General</c:formatCode>
                <c:ptCount val="2"/>
                <c:pt idx="0" formatCode="#,##0">
                  <c:v>0</c:v>
                </c:pt>
              </c:numCache>
            </c:numRef>
          </c:val>
          <c:extLst>
            <c:ext xmlns:c16="http://schemas.microsoft.com/office/drawing/2014/chart" uri="{C3380CC4-5D6E-409C-BE32-E72D297353CC}">
              <c16:uniqueId val="{00000002-D3C8-403A-BC2B-D58DD1B66952}"/>
            </c:ext>
          </c:extLst>
        </c:ser>
        <c:ser>
          <c:idx val="3"/>
          <c:order val="3"/>
          <c:tx>
            <c:strRef>
              <c:f>'LCA Sc3'!$K$66</c:f>
              <c:strCache>
                <c:ptCount val="1"/>
                <c:pt idx="0">
                  <c:v>Controlled landfill</c:v>
                </c:pt>
              </c:strCache>
            </c:strRef>
          </c:tx>
          <c:spPr>
            <a:solidFill>
              <a:srgbClr val="99CC00"/>
            </a:solidFill>
            <a:ln w="12700">
              <a:solidFill>
                <a:srgbClr val="000000"/>
              </a:solidFill>
              <a:prstDash val="solid"/>
            </a:ln>
          </c:spPr>
          <c:invertIfNegative val="0"/>
          <c:cat>
            <c:strRef>
              <c:f>'LCA Sc3'!$L$62:$M$62</c:f>
              <c:strCache>
                <c:ptCount val="2"/>
                <c:pt idx="0">
                  <c:v>Disposed of waste</c:v>
                </c:pt>
                <c:pt idx="1">
                  <c:v>Net</c:v>
                </c:pt>
              </c:strCache>
            </c:strRef>
          </c:cat>
          <c:val>
            <c:numRef>
              <c:f>'LCA Sc3'!$L$66:$M$66</c:f>
              <c:numCache>
                <c:formatCode>General</c:formatCode>
                <c:ptCount val="2"/>
                <c:pt idx="0" formatCode="#,##0">
                  <c:v>0</c:v>
                </c:pt>
              </c:numCache>
            </c:numRef>
          </c:val>
          <c:extLst>
            <c:ext xmlns:c16="http://schemas.microsoft.com/office/drawing/2014/chart" uri="{C3380CC4-5D6E-409C-BE32-E72D297353CC}">
              <c16:uniqueId val="{00000003-D3C8-403A-BC2B-D58DD1B66952}"/>
            </c:ext>
          </c:extLst>
        </c:ser>
        <c:ser>
          <c:idx val="4"/>
          <c:order val="4"/>
          <c:tx>
            <c:strRef>
              <c:f>'LCA Sc3'!$K$67</c:f>
              <c:strCache>
                <c:ptCount val="1"/>
                <c:pt idx="0">
                  <c:v>Sanitary landfill</c:v>
                </c:pt>
              </c:strCache>
            </c:strRef>
          </c:tx>
          <c:spPr>
            <a:solidFill>
              <a:srgbClr val="FFFF00"/>
            </a:solidFill>
            <a:ln w="12700">
              <a:solidFill>
                <a:srgbClr val="000000"/>
              </a:solidFill>
              <a:prstDash val="solid"/>
            </a:ln>
          </c:spPr>
          <c:invertIfNegative val="0"/>
          <c:cat>
            <c:strRef>
              <c:f>'LCA Sc3'!$L$62:$M$62</c:f>
              <c:strCache>
                <c:ptCount val="2"/>
                <c:pt idx="0">
                  <c:v>Disposed of waste</c:v>
                </c:pt>
                <c:pt idx="1">
                  <c:v>Net</c:v>
                </c:pt>
              </c:strCache>
            </c:strRef>
          </c:cat>
          <c:val>
            <c:numRef>
              <c:f>'LCA Sc3'!$L$67:$M$67</c:f>
              <c:numCache>
                <c:formatCode>General</c:formatCode>
                <c:ptCount val="2"/>
                <c:pt idx="0" formatCode="#,##0">
                  <c:v>0</c:v>
                </c:pt>
              </c:numCache>
            </c:numRef>
          </c:val>
          <c:extLst>
            <c:ext xmlns:c16="http://schemas.microsoft.com/office/drawing/2014/chart" uri="{C3380CC4-5D6E-409C-BE32-E72D297353CC}">
              <c16:uniqueId val="{00000004-D3C8-403A-BC2B-D58DD1B66952}"/>
            </c:ext>
          </c:extLst>
        </c:ser>
        <c:ser>
          <c:idx val="5"/>
          <c:order val="5"/>
          <c:tx>
            <c:strRef>
              <c:f>'LCA Sc3'!$K$68</c:f>
              <c:strCache>
                <c:ptCount val="1"/>
                <c:pt idx="0">
                  <c:v>BS/landfill</c:v>
                </c:pt>
              </c:strCache>
            </c:strRef>
          </c:tx>
          <c:spPr>
            <a:solidFill>
              <a:srgbClr val="FF00FF"/>
            </a:solidFill>
            <a:ln w="12700">
              <a:solidFill>
                <a:srgbClr val="000000"/>
              </a:solidFill>
              <a:prstDash val="solid"/>
            </a:ln>
          </c:spPr>
          <c:invertIfNegative val="0"/>
          <c:cat>
            <c:strRef>
              <c:f>'LCA Sc3'!$L$62:$M$62</c:f>
              <c:strCache>
                <c:ptCount val="2"/>
                <c:pt idx="0">
                  <c:v>Disposed of waste</c:v>
                </c:pt>
                <c:pt idx="1">
                  <c:v>Net</c:v>
                </c:pt>
              </c:strCache>
            </c:strRef>
          </c:cat>
          <c:val>
            <c:numRef>
              <c:f>'LCA Sc3'!$L$68:$M$68</c:f>
              <c:numCache>
                <c:formatCode>General</c:formatCode>
                <c:ptCount val="2"/>
                <c:pt idx="0" formatCode="#,##0">
                  <c:v>0</c:v>
                </c:pt>
              </c:numCache>
            </c:numRef>
          </c:val>
          <c:extLst>
            <c:ext xmlns:c16="http://schemas.microsoft.com/office/drawing/2014/chart" uri="{C3380CC4-5D6E-409C-BE32-E72D297353CC}">
              <c16:uniqueId val="{00000005-D3C8-403A-BC2B-D58DD1B66952}"/>
            </c:ext>
          </c:extLst>
        </c:ser>
        <c:ser>
          <c:idx val="6"/>
          <c:order val="6"/>
          <c:tx>
            <c:strRef>
              <c:f>'LCA Sc3'!$K$69</c:f>
              <c:strCache>
                <c:ptCount val="1"/>
                <c:pt idx="0">
                  <c:v>MBTaerobic/treatm</c:v>
                </c:pt>
              </c:strCache>
            </c:strRef>
          </c:tx>
          <c:spPr>
            <a:solidFill>
              <a:srgbClr val="008080"/>
            </a:solidFill>
            <a:ln w="12700">
              <a:solidFill>
                <a:srgbClr val="000000"/>
              </a:solidFill>
              <a:prstDash val="solid"/>
            </a:ln>
          </c:spPr>
          <c:invertIfNegative val="0"/>
          <c:cat>
            <c:strRef>
              <c:f>'LCA Sc3'!$L$62:$M$62</c:f>
              <c:strCache>
                <c:ptCount val="2"/>
                <c:pt idx="0">
                  <c:v>Disposed of waste</c:v>
                </c:pt>
                <c:pt idx="1">
                  <c:v>Net</c:v>
                </c:pt>
              </c:strCache>
            </c:strRef>
          </c:cat>
          <c:val>
            <c:numRef>
              <c:f>'LCA Sc3'!$L$69:$M$69</c:f>
              <c:numCache>
                <c:formatCode>General</c:formatCode>
                <c:ptCount val="2"/>
                <c:pt idx="0" formatCode="#,##0">
                  <c:v>0</c:v>
                </c:pt>
              </c:numCache>
            </c:numRef>
          </c:val>
          <c:extLst>
            <c:ext xmlns:c16="http://schemas.microsoft.com/office/drawing/2014/chart" uri="{C3380CC4-5D6E-409C-BE32-E72D297353CC}">
              <c16:uniqueId val="{00000006-D3C8-403A-BC2B-D58DD1B66952}"/>
            </c:ext>
          </c:extLst>
        </c:ser>
        <c:ser>
          <c:idx val="7"/>
          <c:order val="7"/>
          <c:tx>
            <c:strRef>
              <c:f>'LCA Sc3'!$K$70</c:f>
              <c:strCache>
                <c:ptCount val="1"/>
                <c:pt idx="0">
                  <c:v>MBTanaerobic/treatm</c:v>
                </c:pt>
              </c:strCache>
            </c:strRef>
          </c:tx>
          <c:spPr>
            <a:solidFill>
              <a:srgbClr val="00CCFF"/>
            </a:solidFill>
            <a:ln w="12700">
              <a:solidFill>
                <a:srgbClr val="000000"/>
              </a:solidFill>
              <a:prstDash val="solid"/>
            </a:ln>
          </c:spPr>
          <c:invertIfNegative val="0"/>
          <c:cat>
            <c:strRef>
              <c:f>'LCA Sc3'!$L$62:$M$62</c:f>
              <c:strCache>
                <c:ptCount val="2"/>
                <c:pt idx="0">
                  <c:v>Disposed of waste</c:v>
                </c:pt>
                <c:pt idx="1">
                  <c:v>Net</c:v>
                </c:pt>
              </c:strCache>
            </c:strRef>
          </c:cat>
          <c:val>
            <c:numRef>
              <c:f>'LCA Sc3'!$L$70:$M$70</c:f>
              <c:numCache>
                <c:formatCode>General</c:formatCode>
                <c:ptCount val="2"/>
                <c:pt idx="0" formatCode="#,##0">
                  <c:v>0</c:v>
                </c:pt>
              </c:numCache>
            </c:numRef>
          </c:val>
          <c:extLst>
            <c:ext xmlns:c16="http://schemas.microsoft.com/office/drawing/2014/chart" uri="{C3380CC4-5D6E-409C-BE32-E72D297353CC}">
              <c16:uniqueId val="{00000007-D3C8-403A-BC2B-D58DD1B66952}"/>
            </c:ext>
          </c:extLst>
        </c:ser>
        <c:ser>
          <c:idx val="8"/>
          <c:order val="8"/>
          <c:tx>
            <c:strRef>
              <c:f>'LCA Sc3'!$K$71</c:f>
              <c:strCache>
                <c:ptCount val="1"/>
                <c:pt idx="0">
                  <c:v>MBS/treatm</c:v>
                </c:pt>
              </c:strCache>
            </c:strRef>
          </c:tx>
          <c:spPr>
            <a:solidFill>
              <a:srgbClr val="FF9900"/>
            </a:solidFill>
            <a:ln w="12700">
              <a:solidFill>
                <a:srgbClr val="000000"/>
              </a:solidFill>
              <a:prstDash val="solid"/>
            </a:ln>
          </c:spPr>
          <c:invertIfNegative val="0"/>
          <c:cat>
            <c:strRef>
              <c:f>'LCA Sc3'!$L$62:$M$62</c:f>
              <c:strCache>
                <c:ptCount val="2"/>
                <c:pt idx="0">
                  <c:v>Disposed of waste</c:v>
                </c:pt>
                <c:pt idx="1">
                  <c:v>Net</c:v>
                </c:pt>
              </c:strCache>
            </c:strRef>
          </c:cat>
          <c:val>
            <c:numRef>
              <c:f>'LCA Sc3'!$L$71:$M$71</c:f>
              <c:numCache>
                <c:formatCode>General</c:formatCode>
                <c:ptCount val="2"/>
                <c:pt idx="0" formatCode="#,##0">
                  <c:v>0</c:v>
                </c:pt>
              </c:numCache>
            </c:numRef>
          </c:val>
          <c:extLst>
            <c:ext xmlns:c16="http://schemas.microsoft.com/office/drawing/2014/chart" uri="{C3380CC4-5D6E-409C-BE32-E72D297353CC}">
              <c16:uniqueId val="{00000008-D3C8-403A-BC2B-D58DD1B66952}"/>
            </c:ext>
          </c:extLst>
        </c:ser>
        <c:ser>
          <c:idx val="9"/>
          <c:order val="9"/>
          <c:tx>
            <c:strRef>
              <c:f>'LCA Sc3'!$K$72</c:f>
              <c:strCache>
                <c:ptCount val="1"/>
                <c:pt idx="0">
                  <c:v>Incineration</c:v>
                </c:pt>
              </c:strCache>
            </c:strRef>
          </c:tx>
          <c:spPr>
            <a:solidFill>
              <a:srgbClr val="CCCCFF"/>
            </a:solidFill>
            <a:ln w="12700">
              <a:solidFill>
                <a:srgbClr val="000000"/>
              </a:solidFill>
            </a:ln>
          </c:spPr>
          <c:invertIfNegative val="0"/>
          <c:cat>
            <c:strRef>
              <c:f>'LCA Sc3'!$L$62:$M$62</c:f>
              <c:strCache>
                <c:ptCount val="2"/>
                <c:pt idx="0">
                  <c:v>Disposed of waste</c:v>
                </c:pt>
                <c:pt idx="1">
                  <c:v>Net</c:v>
                </c:pt>
              </c:strCache>
            </c:strRef>
          </c:cat>
          <c:val>
            <c:numRef>
              <c:f>'LCA Sc3'!$L$72:$M$72</c:f>
              <c:numCache>
                <c:formatCode>General</c:formatCode>
                <c:ptCount val="2"/>
                <c:pt idx="0" formatCode="#,##0">
                  <c:v>0</c:v>
                </c:pt>
              </c:numCache>
            </c:numRef>
          </c:val>
          <c:extLst>
            <c:ext xmlns:c16="http://schemas.microsoft.com/office/drawing/2014/chart" uri="{C3380CC4-5D6E-409C-BE32-E72D297353CC}">
              <c16:uniqueId val="{00000009-D3C8-403A-BC2B-D58DD1B66952}"/>
            </c:ext>
          </c:extLst>
        </c:ser>
        <c:ser>
          <c:idx val="10"/>
          <c:order val="10"/>
          <c:tx>
            <c:strRef>
              <c:f>'LCA Sc3'!$K$73</c:f>
              <c:strCache>
                <c:ptCount val="1"/>
                <c:pt idx="0">
                  <c:v>Debits</c:v>
                </c:pt>
              </c:strCache>
            </c:strRef>
          </c:tx>
          <c:spPr>
            <a:noFill/>
            <a:ln w="12700">
              <a:noFill/>
              <a:prstDash val="solid"/>
            </a:ln>
          </c:spPr>
          <c:invertIfNegative val="0"/>
          <c:cat>
            <c:strRef>
              <c:f>'LCA Sc3'!$L$62:$M$62</c:f>
              <c:strCache>
                <c:ptCount val="2"/>
                <c:pt idx="0">
                  <c:v>Disposed of waste</c:v>
                </c:pt>
                <c:pt idx="1">
                  <c:v>Net</c:v>
                </c:pt>
              </c:strCache>
            </c:strRef>
          </c:cat>
          <c:val>
            <c:numRef>
              <c:f>'LCA Sc3'!$L$73:$M$73</c:f>
              <c:numCache>
                <c:formatCode>General</c:formatCode>
                <c:ptCount val="2"/>
              </c:numCache>
            </c:numRef>
          </c:val>
          <c:extLst>
            <c:ext xmlns:c16="http://schemas.microsoft.com/office/drawing/2014/chart" uri="{C3380CC4-5D6E-409C-BE32-E72D297353CC}">
              <c16:uniqueId val="{0000000A-D3C8-403A-BC2B-D58DD1B66952}"/>
            </c:ext>
          </c:extLst>
        </c:ser>
        <c:ser>
          <c:idx val="11"/>
          <c:order val="11"/>
          <c:tx>
            <c:strRef>
              <c:f>'LCA Sc3'!$K$74</c:f>
              <c:strCache>
                <c:ptCount val="1"/>
                <c:pt idx="0">
                  <c:v>Scattered</c:v>
                </c:pt>
              </c:strCache>
            </c:strRef>
          </c:tx>
          <c:spPr>
            <a:pattFill prst="wdUpDi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Sc3'!$L$74:$M$74</c:f>
              <c:numCache>
                <c:formatCode>General</c:formatCode>
                <c:ptCount val="2"/>
                <c:pt idx="0" formatCode="#,##0">
                  <c:v>0</c:v>
                </c:pt>
              </c:numCache>
            </c:numRef>
          </c:val>
          <c:extLst>
            <c:ext xmlns:c16="http://schemas.microsoft.com/office/drawing/2014/chart" uri="{C3380CC4-5D6E-409C-BE32-E72D297353CC}">
              <c16:uniqueId val="{0000000B-D3C8-403A-BC2B-D58DD1B66952}"/>
            </c:ext>
          </c:extLst>
        </c:ser>
        <c:ser>
          <c:idx val="12"/>
          <c:order val="12"/>
          <c:tx>
            <c:strRef>
              <c:f>'LCA Sc3'!$K$75</c:f>
              <c:strCache>
                <c:ptCount val="1"/>
                <c:pt idx="0">
                  <c:v>Burned-open</c:v>
                </c:pt>
              </c:strCache>
            </c:strRef>
          </c:tx>
          <c:spPr>
            <a:pattFill prst="wdDnDiag">
              <a:fgClr>
                <a:srgbClr val="FF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Sc3'!$L$75:$M$75</c:f>
              <c:numCache>
                <c:formatCode>General</c:formatCode>
                <c:ptCount val="2"/>
                <c:pt idx="0" formatCode="#,##0">
                  <c:v>0</c:v>
                </c:pt>
              </c:numCache>
            </c:numRef>
          </c:val>
          <c:extLst>
            <c:ext xmlns:c16="http://schemas.microsoft.com/office/drawing/2014/chart" uri="{C3380CC4-5D6E-409C-BE32-E72D297353CC}">
              <c16:uniqueId val="{0000000C-D3C8-403A-BC2B-D58DD1B66952}"/>
            </c:ext>
          </c:extLst>
        </c:ser>
        <c:ser>
          <c:idx val="13"/>
          <c:order val="13"/>
          <c:tx>
            <c:strRef>
              <c:f>'LCA Sc3'!$K$76</c:f>
              <c:strCache>
                <c:ptCount val="1"/>
                <c:pt idx="0">
                  <c:v>Wild dump</c:v>
                </c:pt>
              </c:strCache>
            </c:strRef>
          </c:tx>
          <c:spPr>
            <a:pattFill prst="wdUpDiag">
              <a:fgClr>
                <a:srgbClr val="9933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Sc3'!$L$76:$M$76</c:f>
              <c:numCache>
                <c:formatCode>General</c:formatCode>
                <c:ptCount val="2"/>
                <c:pt idx="0" formatCode="#,##0">
                  <c:v>0</c:v>
                </c:pt>
              </c:numCache>
            </c:numRef>
          </c:val>
          <c:extLst>
            <c:ext xmlns:c16="http://schemas.microsoft.com/office/drawing/2014/chart" uri="{C3380CC4-5D6E-409C-BE32-E72D297353CC}">
              <c16:uniqueId val="{0000000D-D3C8-403A-BC2B-D58DD1B66952}"/>
            </c:ext>
          </c:extLst>
        </c:ser>
        <c:ser>
          <c:idx val="14"/>
          <c:order val="14"/>
          <c:tx>
            <c:strRef>
              <c:f>'LCA Sc3'!$K$77</c:f>
              <c:strCache>
                <c:ptCount val="1"/>
                <c:pt idx="0">
                  <c:v>Controlled landfill</c:v>
                </c:pt>
              </c:strCache>
            </c:strRef>
          </c:tx>
          <c:spPr>
            <a:pattFill prst="wdDnDiag">
              <a:fgClr>
                <a:srgbClr val="99CC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Sc3'!$L$77:$M$77</c:f>
              <c:numCache>
                <c:formatCode>General</c:formatCode>
                <c:ptCount val="2"/>
                <c:pt idx="0" formatCode="#,##0">
                  <c:v>0</c:v>
                </c:pt>
              </c:numCache>
            </c:numRef>
          </c:val>
          <c:extLst>
            <c:ext xmlns:c16="http://schemas.microsoft.com/office/drawing/2014/chart" uri="{C3380CC4-5D6E-409C-BE32-E72D297353CC}">
              <c16:uniqueId val="{0000000E-D3C8-403A-BC2B-D58DD1B66952}"/>
            </c:ext>
          </c:extLst>
        </c:ser>
        <c:ser>
          <c:idx val="15"/>
          <c:order val="15"/>
          <c:tx>
            <c:strRef>
              <c:f>'LCA Sc3'!$K$78</c:f>
              <c:strCache>
                <c:ptCount val="1"/>
                <c:pt idx="0">
                  <c:v>Sanitary landfill</c:v>
                </c:pt>
              </c:strCache>
            </c:strRef>
          </c:tx>
          <c:spPr>
            <a:pattFill prst="wdUpDiag">
              <a:fgClr>
                <a:srgbClr val="FFFF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Sc3'!$L$78:$M$78</c:f>
              <c:numCache>
                <c:formatCode>General</c:formatCode>
                <c:ptCount val="2"/>
                <c:pt idx="0" formatCode="#,##0">
                  <c:v>0</c:v>
                </c:pt>
              </c:numCache>
            </c:numRef>
          </c:val>
          <c:extLst>
            <c:ext xmlns:c16="http://schemas.microsoft.com/office/drawing/2014/chart" uri="{C3380CC4-5D6E-409C-BE32-E72D297353CC}">
              <c16:uniqueId val="{0000000F-D3C8-403A-BC2B-D58DD1B66952}"/>
            </c:ext>
          </c:extLst>
        </c:ser>
        <c:ser>
          <c:idx val="16"/>
          <c:order val="16"/>
          <c:tx>
            <c:strRef>
              <c:f>'LCA Sc3'!$K$79</c:f>
              <c:strCache>
                <c:ptCount val="1"/>
                <c:pt idx="0">
                  <c:v>BS/landfill</c:v>
                </c:pt>
              </c:strCache>
            </c:strRef>
          </c:tx>
          <c:spPr>
            <a:pattFill prst="wdDnDiag">
              <a:fgClr>
                <a:srgbClr val="FF00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Sc3'!$L$79:$M$79</c:f>
              <c:numCache>
                <c:formatCode>General</c:formatCode>
                <c:ptCount val="2"/>
                <c:pt idx="0" formatCode="#,##0">
                  <c:v>0</c:v>
                </c:pt>
              </c:numCache>
            </c:numRef>
          </c:val>
          <c:extLst>
            <c:ext xmlns:c16="http://schemas.microsoft.com/office/drawing/2014/chart" uri="{C3380CC4-5D6E-409C-BE32-E72D297353CC}">
              <c16:uniqueId val="{00000010-D3C8-403A-BC2B-D58DD1B66952}"/>
            </c:ext>
          </c:extLst>
        </c:ser>
        <c:ser>
          <c:idx val="17"/>
          <c:order val="17"/>
          <c:tx>
            <c:strRef>
              <c:f>'LCA Sc3'!$K$80</c:f>
              <c:strCache>
                <c:ptCount val="1"/>
                <c:pt idx="0">
                  <c:v>MBTaerobic/treatm</c:v>
                </c:pt>
              </c:strCache>
            </c:strRef>
          </c:tx>
          <c:spPr>
            <a:pattFill prst="wdUpDiag">
              <a:fgClr>
                <a:srgbClr val="00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Sc3'!$L$80:$M$80</c:f>
              <c:numCache>
                <c:formatCode>General</c:formatCode>
                <c:ptCount val="2"/>
                <c:pt idx="0" formatCode="#,##0">
                  <c:v>0</c:v>
                </c:pt>
              </c:numCache>
            </c:numRef>
          </c:val>
          <c:extLst>
            <c:ext xmlns:c16="http://schemas.microsoft.com/office/drawing/2014/chart" uri="{C3380CC4-5D6E-409C-BE32-E72D297353CC}">
              <c16:uniqueId val="{00000011-D3C8-403A-BC2B-D58DD1B66952}"/>
            </c:ext>
          </c:extLst>
        </c:ser>
        <c:ser>
          <c:idx val="18"/>
          <c:order val="18"/>
          <c:tx>
            <c:strRef>
              <c:f>'LCA Sc3'!$K$81</c:f>
              <c:strCache>
                <c:ptCount val="1"/>
                <c:pt idx="0">
                  <c:v>MBTanaerobic/treatm</c:v>
                </c:pt>
              </c:strCache>
            </c:strRef>
          </c:tx>
          <c:spPr>
            <a:pattFill prst="wdDnDiag">
              <a:fgClr>
                <a:srgbClr val="0099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Sc3'!$L$62:$M$62</c:f>
              <c:strCache>
                <c:ptCount val="2"/>
                <c:pt idx="0">
                  <c:v>Disposed of waste</c:v>
                </c:pt>
                <c:pt idx="1">
                  <c:v>Net</c:v>
                </c:pt>
              </c:strCache>
            </c:strRef>
          </c:cat>
          <c:val>
            <c:numRef>
              <c:f>'LCA Sc3'!$L$81:$M$81</c:f>
              <c:numCache>
                <c:formatCode>General</c:formatCode>
                <c:ptCount val="2"/>
                <c:pt idx="0" formatCode="#,##0">
                  <c:v>0</c:v>
                </c:pt>
              </c:numCache>
            </c:numRef>
          </c:val>
          <c:extLst>
            <c:ext xmlns:c16="http://schemas.microsoft.com/office/drawing/2014/chart" uri="{C3380CC4-5D6E-409C-BE32-E72D297353CC}">
              <c16:uniqueId val="{00000012-D3C8-403A-BC2B-D58DD1B66952}"/>
            </c:ext>
          </c:extLst>
        </c:ser>
        <c:ser>
          <c:idx val="19"/>
          <c:order val="19"/>
          <c:tx>
            <c:strRef>
              <c:f>'LCA Sc3'!$K$82</c:f>
              <c:strCache>
                <c:ptCount val="1"/>
                <c:pt idx="0">
                  <c:v>MBS/treatm</c:v>
                </c:pt>
              </c:strCache>
            </c:strRef>
          </c:tx>
          <c:spPr>
            <a:pattFill prst="wdUpDiag">
              <a:fgClr>
                <a:srgbClr val="FF9900"/>
              </a:fgClr>
              <a:bgClr>
                <a:schemeClr val="bg1"/>
              </a:bgClr>
            </a:pattFill>
            <a:ln w="12700">
              <a:solidFill>
                <a:srgbClr val="000000"/>
              </a:solidFill>
            </a:ln>
          </c:spPr>
          <c:invertIfNegative val="0"/>
          <c:cat>
            <c:strRef>
              <c:f>'LCA Sc3'!$L$62:$M$62</c:f>
              <c:strCache>
                <c:ptCount val="2"/>
                <c:pt idx="0">
                  <c:v>Disposed of waste</c:v>
                </c:pt>
                <c:pt idx="1">
                  <c:v>Net</c:v>
                </c:pt>
              </c:strCache>
            </c:strRef>
          </c:cat>
          <c:val>
            <c:numRef>
              <c:f>'LCA Sc3'!$L$82:$M$82</c:f>
              <c:numCache>
                <c:formatCode>General</c:formatCode>
                <c:ptCount val="2"/>
                <c:pt idx="0" formatCode="#,##0">
                  <c:v>0</c:v>
                </c:pt>
              </c:numCache>
            </c:numRef>
          </c:val>
          <c:extLst>
            <c:ext xmlns:c16="http://schemas.microsoft.com/office/drawing/2014/chart" uri="{C3380CC4-5D6E-409C-BE32-E72D297353CC}">
              <c16:uniqueId val="{00000013-D3C8-403A-BC2B-D58DD1B66952}"/>
            </c:ext>
          </c:extLst>
        </c:ser>
        <c:ser>
          <c:idx val="20"/>
          <c:order val="20"/>
          <c:tx>
            <c:strRef>
              <c:f>'LCA Sc3'!$K$83</c:f>
              <c:strCache>
                <c:ptCount val="1"/>
                <c:pt idx="0">
                  <c:v>Incineration</c:v>
                </c:pt>
              </c:strCache>
            </c:strRef>
          </c:tx>
          <c:spPr>
            <a:pattFill prst="wdDnDiag">
              <a:fgClr>
                <a:srgbClr val="CCCCFF"/>
              </a:fgClr>
              <a:bgClr>
                <a:schemeClr val="bg1"/>
              </a:bgClr>
            </a:pattFill>
            <a:ln w="12700">
              <a:solidFill>
                <a:srgbClr val="000000"/>
              </a:solidFill>
              <a:prstDash val="solid"/>
            </a:ln>
          </c:spPr>
          <c:invertIfNegative val="0"/>
          <c:cat>
            <c:strRef>
              <c:f>'LCA Sc3'!$L$62:$M$62</c:f>
              <c:strCache>
                <c:ptCount val="2"/>
                <c:pt idx="0">
                  <c:v>Disposed of waste</c:v>
                </c:pt>
                <c:pt idx="1">
                  <c:v>Net</c:v>
                </c:pt>
              </c:strCache>
            </c:strRef>
          </c:cat>
          <c:val>
            <c:numRef>
              <c:f>'LCA Sc3'!$L$83:$M$83</c:f>
              <c:numCache>
                <c:formatCode>General</c:formatCode>
                <c:ptCount val="2"/>
                <c:pt idx="0" formatCode="#,##0">
                  <c:v>0</c:v>
                </c:pt>
              </c:numCache>
            </c:numRef>
          </c:val>
          <c:extLst>
            <c:ext xmlns:c16="http://schemas.microsoft.com/office/drawing/2014/chart" uri="{C3380CC4-5D6E-409C-BE32-E72D297353CC}">
              <c16:uniqueId val="{00000014-D3C8-403A-BC2B-D58DD1B66952}"/>
            </c:ext>
          </c:extLst>
        </c:ser>
        <c:ser>
          <c:idx val="21"/>
          <c:order val="21"/>
          <c:tx>
            <c:strRef>
              <c:f>'LCA Sc3'!$K$84</c:f>
              <c:strCache>
                <c:ptCount val="1"/>
                <c:pt idx="0">
                  <c:v>Credits</c:v>
                </c:pt>
              </c:strCache>
            </c:strRef>
          </c:tx>
          <c:spPr>
            <a:noFill/>
          </c:spPr>
          <c:invertIfNegative val="0"/>
          <c:cat>
            <c:strRef>
              <c:f>'LCA Sc3'!$L$62:$M$62</c:f>
              <c:strCache>
                <c:ptCount val="2"/>
                <c:pt idx="0">
                  <c:v>Disposed of waste</c:v>
                </c:pt>
                <c:pt idx="1">
                  <c:v>Net</c:v>
                </c:pt>
              </c:strCache>
            </c:strRef>
          </c:cat>
          <c:val>
            <c:numRef>
              <c:f>'LCA Sc3'!$L$84:$M$84</c:f>
              <c:numCache>
                <c:formatCode>General</c:formatCode>
                <c:ptCount val="2"/>
              </c:numCache>
            </c:numRef>
          </c:val>
          <c:extLst>
            <c:ext xmlns:c16="http://schemas.microsoft.com/office/drawing/2014/chart" uri="{C3380CC4-5D6E-409C-BE32-E72D297353CC}">
              <c16:uniqueId val="{00000015-D3C8-403A-BC2B-D58DD1B66952}"/>
            </c:ext>
          </c:extLst>
        </c:ser>
        <c:ser>
          <c:idx val="22"/>
          <c:order val="22"/>
          <c:tx>
            <c:strRef>
              <c:f>'LCA Sc3'!$K$85</c:f>
              <c:strCache>
                <c:ptCount val="1"/>
                <c:pt idx="0">
                  <c:v>Net</c:v>
                </c:pt>
              </c:strCache>
            </c:strRef>
          </c:tx>
          <c:spPr>
            <a:solidFill>
              <a:srgbClr val="0000FF"/>
            </a:solidFill>
          </c:spPr>
          <c:invertIfNegative val="0"/>
          <c:cat>
            <c:strRef>
              <c:f>'LCA Sc3'!$L$62:$M$62</c:f>
              <c:strCache>
                <c:ptCount val="2"/>
                <c:pt idx="0">
                  <c:v>Disposed of waste</c:v>
                </c:pt>
                <c:pt idx="1">
                  <c:v>Net</c:v>
                </c:pt>
              </c:strCache>
            </c:strRef>
          </c:cat>
          <c:val>
            <c:numRef>
              <c:f>'LCA Sc3'!$L$85:$M$85</c:f>
              <c:numCache>
                <c:formatCode>#,##0</c:formatCode>
                <c:ptCount val="2"/>
                <c:pt idx="1">
                  <c:v>0</c:v>
                </c:pt>
              </c:numCache>
            </c:numRef>
          </c:val>
          <c:extLst>
            <c:ext xmlns:c16="http://schemas.microsoft.com/office/drawing/2014/chart" uri="{C3380CC4-5D6E-409C-BE32-E72D297353CC}">
              <c16:uniqueId val="{00000016-D3C8-403A-BC2B-D58DD1B66952}"/>
            </c:ext>
          </c:extLst>
        </c:ser>
        <c:dLbls>
          <c:showLegendKey val="0"/>
          <c:showVal val="0"/>
          <c:showCatName val="0"/>
          <c:showSerName val="0"/>
          <c:showPercent val="0"/>
          <c:showBubbleSize val="0"/>
        </c:dLbls>
        <c:gapWidth val="100"/>
        <c:overlap val="100"/>
        <c:axId val="561442888"/>
        <c:axId val="1"/>
      </c:barChart>
      <c:catAx>
        <c:axId val="5614428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tonne CO2e/yr</a:t>
                </a:r>
              </a:p>
            </c:rich>
          </c:tx>
          <c:layout>
            <c:manualLayout>
              <c:xMode val="edge"/>
              <c:yMode val="edge"/>
              <c:x val="1.101322770386033E-2"/>
              <c:y val="0.35933147632311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1442888"/>
        <c:crosses val="autoZero"/>
        <c:crossBetween val="between"/>
      </c:valAx>
      <c:spPr>
        <a:noFill/>
        <a:ln w="12700">
          <a:solidFill>
            <a:srgbClr val="808080"/>
          </a:solidFill>
          <a:prstDash val="solid"/>
        </a:ln>
      </c:spPr>
    </c:plotArea>
    <c:legend>
      <c:legendPos val="r"/>
      <c:legendEntry>
        <c:idx val="0"/>
        <c:txPr>
          <a:bodyPr/>
          <a:lstStyle/>
          <a:p>
            <a:pPr>
              <a:defRPr sz="780" b="1" i="0" u="none" strike="noStrike" baseline="0">
                <a:solidFill>
                  <a:srgbClr val="000000"/>
                </a:solidFill>
                <a:latin typeface="Arial"/>
                <a:ea typeface="Arial"/>
                <a:cs typeface="Arial"/>
              </a:defRPr>
            </a:pPr>
            <a:endParaRPr lang="de-DE"/>
          </a:p>
        </c:txPr>
      </c:legendEntry>
      <c:legendEntry>
        <c:idx val="1"/>
        <c:txPr>
          <a:bodyPr/>
          <a:lstStyle/>
          <a:p>
            <a:pPr>
              <a:defRPr sz="780" b="1" i="0" u="none" strike="noStrike" baseline="0">
                <a:solidFill>
                  <a:srgbClr val="000000"/>
                </a:solidFill>
                <a:latin typeface="Arial"/>
                <a:ea typeface="Arial"/>
                <a:cs typeface="Arial"/>
              </a:defRPr>
            </a:pPr>
            <a:endParaRPr lang="de-DE"/>
          </a:p>
        </c:txPr>
      </c:legendEntry>
      <c:legendEntry>
        <c:idx val="2"/>
        <c:txPr>
          <a:bodyPr/>
          <a:lstStyle/>
          <a:p>
            <a:pPr>
              <a:defRPr sz="780" b="0" i="0" u="none" strike="noStrike" baseline="0">
                <a:solidFill>
                  <a:srgbClr val="000000"/>
                </a:solidFill>
                <a:latin typeface="Arial"/>
                <a:ea typeface="Arial"/>
                <a:cs typeface="Arial"/>
              </a:defRPr>
            </a:pPr>
            <a:endParaRPr lang="de-DE"/>
          </a:p>
        </c:txPr>
      </c:legendEntry>
      <c:legendEntry>
        <c:idx val="3"/>
        <c:txPr>
          <a:bodyPr/>
          <a:lstStyle/>
          <a:p>
            <a:pPr>
              <a:defRPr sz="780" b="0" i="0" u="none" strike="noStrike" baseline="0">
                <a:solidFill>
                  <a:srgbClr val="000000"/>
                </a:solidFill>
                <a:latin typeface="Arial"/>
                <a:ea typeface="Arial"/>
                <a:cs typeface="Arial"/>
              </a:defRPr>
            </a:pPr>
            <a:endParaRPr lang="de-DE"/>
          </a:p>
        </c:txPr>
      </c:legendEntry>
      <c:legendEntry>
        <c:idx val="6"/>
        <c:txPr>
          <a:bodyPr/>
          <a:lstStyle/>
          <a:p>
            <a:pPr>
              <a:defRPr sz="780" b="0" i="0" u="none" strike="noStrike" baseline="0">
                <a:solidFill>
                  <a:srgbClr val="000000"/>
                </a:solidFill>
                <a:latin typeface="Arial"/>
                <a:ea typeface="Arial"/>
                <a:cs typeface="Arial"/>
              </a:defRPr>
            </a:pPr>
            <a:endParaRPr lang="de-DE"/>
          </a:p>
        </c:txPr>
      </c:legendEntry>
      <c:legendEntry>
        <c:idx val="7"/>
        <c:txPr>
          <a:bodyPr/>
          <a:lstStyle/>
          <a:p>
            <a:pPr>
              <a:defRPr sz="780" b="0" i="0" u="none" strike="noStrike" baseline="0">
                <a:solidFill>
                  <a:srgbClr val="000000"/>
                </a:solidFill>
                <a:latin typeface="Arial"/>
                <a:ea typeface="Arial"/>
                <a:cs typeface="Arial"/>
              </a:defRPr>
            </a:pPr>
            <a:endParaRPr lang="de-DE"/>
          </a:p>
        </c:txPr>
      </c:legendEntry>
      <c:legendEntry>
        <c:idx val="10"/>
        <c:txPr>
          <a:bodyPr/>
          <a:lstStyle/>
          <a:p>
            <a:pPr>
              <a:defRPr sz="780" b="0" i="0" u="none" strike="noStrike" baseline="0">
                <a:solidFill>
                  <a:srgbClr val="000000"/>
                </a:solidFill>
                <a:latin typeface="Arial"/>
                <a:ea typeface="Arial"/>
                <a:cs typeface="Arial"/>
              </a:defRPr>
            </a:pPr>
            <a:endParaRPr lang="de-DE"/>
          </a:p>
        </c:txPr>
      </c:legendEntry>
      <c:legendEntry>
        <c:idx val="11"/>
        <c:txPr>
          <a:bodyPr/>
          <a:lstStyle/>
          <a:p>
            <a:pPr>
              <a:defRPr sz="780" b="0" i="0" u="none" strike="noStrike" baseline="0">
                <a:solidFill>
                  <a:srgbClr val="000000"/>
                </a:solidFill>
                <a:latin typeface="Arial"/>
                <a:ea typeface="Arial"/>
                <a:cs typeface="Arial"/>
              </a:defRPr>
            </a:pPr>
            <a:endParaRPr lang="de-DE"/>
          </a:p>
        </c:txPr>
      </c:legendEntry>
      <c:legendEntry>
        <c:idx val="12"/>
        <c:txPr>
          <a:bodyPr/>
          <a:lstStyle/>
          <a:p>
            <a:pPr>
              <a:defRPr sz="780" b="1" i="0" u="none" strike="noStrike" baseline="0">
                <a:solidFill>
                  <a:srgbClr val="000000"/>
                </a:solidFill>
                <a:latin typeface="Arial"/>
                <a:ea typeface="Arial"/>
                <a:cs typeface="Arial"/>
              </a:defRPr>
            </a:pPr>
            <a:endParaRPr lang="de-DE"/>
          </a:p>
        </c:txPr>
      </c:legendEntry>
      <c:legendEntry>
        <c:idx val="13"/>
        <c:txPr>
          <a:bodyPr/>
          <a:lstStyle/>
          <a:p>
            <a:pPr>
              <a:defRPr sz="780" b="0" i="0" u="none" strike="noStrike" baseline="0">
                <a:solidFill>
                  <a:srgbClr val="000000"/>
                </a:solidFill>
                <a:latin typeface="Arial"/>
                <a:ea typeface="Arial"/>
                <a:cs typeface="Arial"/>
              </a:defRPr>
            </a:pPr>
            <a:endParaRPr lang="de-DE"/>
          </a:p>
        </c:txPr>
      </c:legendEntry>
      <c:legendEntry>
        <c:idx val="15"/>
        <c:txPr>
          <a:bodyPr/>
          <a:lstStyle/>
          <a:p>
            <a:pPr>
              <a:defRPr sz="780" b="0" i="0" u="none" strike="noStrike" baseline="0">
                <a:solidFill>
                  <a:srgbClr val="000000"/>
                </a:solidFill>
                <a:latin typeface="Arial"/>
                <a:ea typeface="Arial"/>
                <a:cs typeface="Arial"/>
              </a:defRPr>
            </a:pPr>
            <a:endParaRPr lang="de-DE"/>
          </a:p>
        </c:txPr>
      </c:legendEntry>
      <c:legendEntry>
        <c:idx val="17"/>
        <c:txPr>
          <a:bodyPr/>
          <a:lstStyle/>
          <a:p>
            <a:pPr>
              <a:defRPr sz="780" b="0" i="0" u="none" strike="noStrike" baseline="0">
                <a:solidFill>
                  <a:srgbClr val="000000"/>
                </a:solidFill>
                <a:latin typeface="Arial"/>
                <a:ea typeface="Arial"/>
                <a:cs typeface="Arial"/>
              </a:defRPr>
            </a:pPr>
            <a:endParaRPr lang="de-DE"/>
          </a:p>
        </c:txPr>
      </c:legendEntry>
      <c:layout>
        <c:manualLayout>
          <c:xMode val="edge"/>
          <c:yMode val="edge"/>
          <c:x val="0.73318386012185555"/>
          <c:y val="4.7440245124682416E-2"/>
          <c:w val="0.25217032451178367"/>
          <c:h val="0.9186541199108275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de-DE"/>
              <a:t>Waste treated</a:t>
            </a:r>
          </a:p>
        </c:rich>
      </c:tx>
      <c:layout>
        <c:manualLayout>
          <c:xMode val="edge"/>
          <c:yMode val="edge"/>
          <c:x val="0.43701432874945989"/>
          <c:y val="1.2254931293397895E-2"/>
        </c:manualLayout>
      </c:layout>
      <c:overlay val="0"/>
      <c:spPr>
        <a:noFill/>
        <a:ln w="25400">
          <a:noFill/>
        </a:ln>
      </c:spPr>
    </c:title>
    <c:autoTitleDeleted val="0"/>
    <c:plotArea>
      <c:layout>
        <c:manualLayout>
          <c:layoutTarget val="inner"/>
          <c:xMode val="edge"/>
          <c:yMode val="edge"/>
          <c:x val="0.15396590229963178"/>
          <c:y val="8.8235505312464851E-2"/>
          <c:w val="0.82426190120004894"/>
          <c:h val="0.60294261963517648"/>
        </c:manualLayout>
      </c:layout>
      <c:barChart>
        <c:barDir val="col"/>
        <c:grouping val="clustered"/>
        <c:varyColors val="0"/>
        <c:ser>
          <c:idx val="0"/>
          <c:order val="0"/>
          <c:tx>
            <c:strRef>
              <c:f>'LCA results all'!$C$2</c:f>
              <c:strCache>
                <c:ptCount val="1"/>
                <c:pt idx="0">
                  <c:v>Status Quo</c:v>
                </c:pt>
              </c:strCache>
            </c:strRef>
          </c:tx>
          <c:spPr>
            <a:solidFill>
              <a:srgbClr val="00CCFF"/>
            </a:solidFill>
            <a:ln w="12700">
              <a:solidFill>
                <a:srgbClr val="000000"/>
              </a:solidFill>
              <a:prstDash val="solid"/>
            </a:ln>
          </c:spPr>
          <c:invertIfNegative val="0"/>
          <c:cat>
            <c:strRef>
              <c:f>('LCA results all'!$B$7:$B$14,'LCA results all'!$B$17:$B$26)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results all'!$C$7:$C$14,'LCA results all'!$C$17:$C$26)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3F4-48B9-B047-E1307677E26F}"/>
            </c:ext>
          </c:extLst>
        </c:ser>
        <c:ser>
          <c:idx val="1"/>
          <c:order val="1"/>
          <c:tx>
            <c:strRef>
              <c:f>'LCA results all'!$D$2</c:f>
              <c:strCache>
                <c:ptCount val="1"/>
                <c:pt idx="0">
                  <c:v>Scenario 1</c:v>
                </c:pt>
              </c:strCache>
            </c:strRef>
          </c:tx>
          <c:spPr>
            <a:solidFill>
              <a:srgbClr val="993366"/>
            </a:solidFill>
            <a:ln w="12700">
              <a:solidFill>
                <a:srgbClr val="000000"/>
              </a:solidFill>
              <a:prstDash val="solid"/>
            </a:ln>
          </c:spPr>
          <c:invertIfNegative val="0"/>
          <c:cat>
            <c:strRef>
              <c:f>('LCA results all'!$B$7:$B$14,'LCA results all'!$B$17:$B$26)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results all'!$D$7:$D$14,'LCA results all'!$D$17:$D$26)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3F4-48B9-B047-E1307677E26F}"/>
            </c:ext>
          </c:extLst>
        </c:ser>
        <c:ser>
          <c:idx val="2"/>
          <c:order val="2"/>
          <c:tx>
            <c:strRef>
              <c:f>'LCA results all'!$E$2</c:f>
              <c:strCache>
                <c:ptCount val="1"/>
                <c:pt idx="0">
                  <c:v>Scenario 2</c:v>
                </c:pt>
              </c:strCache>
            </c:strRef>
          </c:tx>
          <c:spPr>
            <a:solidFill>
              <a:srgbClr val="FFCC00"/>
            </a:solidFill>
            <a:ln w="12700">
              <a:solidFill>
                <a:srgbClr val="000000"/>
              </a:solidFill>
              <a:prstDash val="solid"/>
            </a:ln>
          </c:spPr>
          <c:invertIfNegative val="0"/>
          <c:cat>
            <c:strRef>
              <c:f>('LCA results all'!$B$7:$B$14,'LCA results all'!$B$17:$B$26)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results all'!$E$7:$E$14,'LCA results all'!$E$17:$E$26)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2-D3F4-48B9-B047-E1307677E26F}"/>
            </c:ext>
          </c:extLst>
        </c:ser>
        <c:ser>
          <c:idx val="3"/>
          <c:order val="3"/>
          <c:tx>
            <c:strRef>
              <c:f>'LCA results all'!$F$2</c:f>
              <c:strCache>
                <c:ptCount val="1"/>
                <c:pt idx="0">
                  <c:v>Scenario 3</c:v>
                </c:pt>
              </c:strCache>
            </c:strRef>
          </c:tx>
          <c:spPr>
            <a:solidFill>
              <a:srgbClr val="CC99FF"/>
            </a:solidFill>
            <a:ln w="12700">
              <a:solidFill>
                <a:srgbClr val="000000"/>
              </a:solidFill>
              <a:prstDash val="solid"/>
            </a:ln>
          </c:spPr>
          <c:invertIfNegative val="0"/>
          <c:cat>
            <c:strRef>
              <c:f>('LCA results all'!$B$7:$B$14,'LCA results all'!$B$17:$B$26)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results all'!$F$7:$F$14,'LCA results all'!$F$17:$F$26)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D3F4-48B9-B047-E1307677E26F}"/>
            </c:ext>
          </c:extLst>
        </c:ser>
        <c:dLbls>
          <c:showLegendKey val="0"/>
          <c:showVal val="0"/>
          <c:showCatName val="0"/>
          <c:showSerName val="0"/>
          <c:showPercent val="0"/>
          <c:showBubbleSize val="0"/>
        </c:dLbls>
        <c:gapWidth val="100"/>
        <c:axId val="562602872"/>
        <c:axId val="1"/>
      </c:barChart>
      <c:catAx>
        <c:axId val="562602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3660000" vert="horz"/>
          <a:lstStyle/>
          <a:p>
            <a:pPr>
              <a:defRPr sz="87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t/yr</a:t>
                </a:r>
              </a:p>
            </c:rich>
          </c:tx>
          <c:layout>
            <c:manualLayout>
              <c:xMode val="edge"/>
              <c:yMode val="edge"/>
              <c:x val="7.7760556716985748E-3"/>
              <c:y val="0.3578439937672185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2602872"/>
        <c:crosses val="autoZero"/>
        <c:crossBetween val="between"/>
      </c:valAx>
      <c:spPr>
        <a:noFill/>
        <a:ln w="3175">
          <a:solidFill>
            <a:srgbClr val="000000"/>
          </a:solidFill>
          <a:prstDash val="solid"/>
        </a:ln>
      </c:spPr>
    </c:plotArea>
    <c:legend>
      <c:legendPos val="r"/>
      <c:layout>
        <c:manualLayout>
          <c:xMode val="edge"/>
          <c:yMode val="edge"/>
          <c:x val="0.23163992657091262"/>
          <c:y val="0.12193097424684034"/>
          <c:w val="0.17192300502514685"/>
          <c:h val="0.20098087321172547"/>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de-DE"/>
              <a:t>GHG emissions</a:t>
            </a:r>
          </a:p>
        </c:rich>
      </c:tx>
      <c:layout>
        <c:manualLayout>
          <c:xMode val="edge"/>
          <c:yMode val="edge"/>
          <c:x val="0.41497659906396256"/>
          <c:y val="1.2376237623762377E-2"/>
        </c:manualLayout>
      </c:layout>
      <c:overlay val="0"/>
      <c:spPr>
        <a:noFill/>
        <a:ln w="25400">
          <a:noFill/>
        </a:ln>
      </c:spPr>
    </c:title>
    <c:autoTitleDeleted val="0"/>
    <c:plotArea>
      <c:layout>
        <c:manualLayout>
          <c:layoutTarget val="inner"/>
          <c:xMode val="edge"/>
          <c:yMode val="edge"/>
          <c:x val="0.15756630265210608"/>
          <c:y val="0.11138613861386139"/>
          <c:w val="0.81747269890795626"/>
          <c:h val="0.72524752475247523"/>
        </c:manualLayout>
      </c:layout>
      <c:barChart>
        <c:barDir val="col"/>
        <c:grouping val="clustered"/>
        <c:varyColors val="0"/>
        <c:ser>
          <c:idx val="0"/>
          <c:order val="0"/>
          <c:tx>
            <c:strRef>
              <c:f>'LCA results all'!$C$31</c:f>
              <c:strCache>
                <c:ptCount val="1"/>
                <c:pt idx="0">
                  <c:v>Status Quo</c:v>
                </c:pt>
              </c:strCache>
            </c:strRef>
          </c:tx>
          <c:spPr>
            <a:solidFill>
              <a:srgbClr val="33CCCC"/>
            </a:solidFill>
            <a:ln w="12700">
              <a:solidFill>
                <a:srgbClr val="000000"/>
              </a:solidFill>
              <a:prstDash val="solid"/>
            </a:ln>
          </c:spPr>
          <c:invertIfNegative val="0"/>
          <c:cat>
            <c:multiLvlStrRef>
              <c:f>'LCA results all'!$A$32:$B$38</c:f>
              <c:multiLvlStrCache>
                <c:ptCount val="7"/>
                <c:lvl>
                  <c:pt idx="0">
                    <c:v> Debits</c:v>
                  </c:pt>
                  <c:pt idx="1">
                    <c:v> Credits</c:v>
                  </c:pt>
                  <c:pt idx="2">
                    <c:v> Debits</c:v>
                  </c:pt>
                  <c:pt idx="3">
                    <c:v> Credits</c:v>
                  </c:pt>
                  <c:pt idx="4">
                    <c:v> Debits</c:v>
                  </c:pt>
                  <c:pt idx="5">
                    <c:v> Credits</c:v>
                  </c:pt>
                  <c:pt idx="6">
                    <c:v> Net</c:v>
                  </c:pt>
                </c:lvl>
                <c:lvl>
                  <c:pt idx="0">
                    <c:v>Recycled waste</c:v>
                  </c:pt>
                  <c:pt idx="2">
                    <c:v>Disposed of waste</c:v>
                  </c:pt>
                  <c:pt idx="4">
                    <c:v>Total MSW treatment</c:v>
                  </c:pt>
                </c:lvl>
              </c:multiLvlStrCache>
            </c:multiLvlStrRef>
          </c:cat>
          <c:val>
            <c:numRef>
              <c:f>'LCA results all'!$C$32:$C$38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FF4-4281-9814-312966775482}"/>
            </c:ext>
          </c:extLst>
        </c:ser>
        <c:ser>
          <c:idx val="1"/>
          <c:order val="1"/>
          <c:tx>
            <c:strRef>
              <c:f>'LCA results all'!$D$31</c:f>
              <c:strCache>
                <c:ptCount val="1"/>
                <c:pt idx="0">
                  <c:v>Scenario 1</c:v>
                </c:pt>
              </c:strCache>
            </c:strRef>
          </c:tx>
          <c:spPr>
            <a:solidFill>
              <a:srgbClr val="993366"/>
            </a:solidFill>
            <a:ln w="12700">
              <a:solidFill>
                <a:srgbClr val="000000"/>
              </a:solidFill>
              <a:prstDash val="solid"/>
            </a:ln>
          </c:spPr>
          <c:invertIfNegative val="0"/>
          <c:cat>
            <c:multiLvlStrRef>
              <c:f>'LCA results all'!$A$32:$B$38</c:f>
              <c:multiLvlStrCache>
                <c:ptCount val="7"/>
                <c:lvl>
                  <c:pt idx="0">
                    <c:v> Debits</c:v>
                  </c:pt>
                  <c:pt idx="1">
                    <c:v> Credits</c:v>
                  </c:pt>
                  <c:pt idx="2">
                    <c:v> Debits</c:v>
                  </c:pt>
                  <c:pt idx="3">
                    <c:v> Credits</c:v>
                  </c:pt>
                  <c:pt idx="4">
                    <c:v> Debits</c:v>
                  </c:pt>
                  <c:pt idx="5">
                    <c:v> Credits</c:v>
                  </c:pt>
                  <c:pt idx="6">
                    <c:v> Net</c:v>
                  </c:pt>
                </c:lvl>
                <c:lvl>
                  <c:pt idx="0">
                    <c:v>Recycled waste</c:v>
                  </c:pt>
                  <c:pt idx="2">
                    <c:v>Disposed of waste</c:v>
                  </c:pt>
                  <c:pt idx="4">
                    <c:v>Total MSW treatment</c:v>
                  </c:pt>
                </c:lvl>
              </c:multiLvlStrCache>
            </c:multiLvlStrRef>
          </c:cat>
          <c:val>
            <c:numRef>
              <c:f>'LCA results all'!$D$32:$D$38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FF4-4281-9814-312966775482}"/>
            </c:ext>
          </c:extLst>
        </c:ser>
        <c:ser>
          <c:idx val="2"/>
          <c:order val="2"/>
          <c:tx>
            <c:strRef>
              <c:f>'LCA results all'!$E$31</c:f>
              <c:strCache>
                <c:ptCount val="1"/>
                <c:pt idx="0">
                  <c:v>Scenario 2</c:v>
                </c:pt>
              </c:strCache>
            </c:strRef>
          </c:tx>
          <c:spPr>
            <a:solidFill>
              <a:srgbClr val="FFCC00"/>
            </a:solidFill>
            <a:ln w="12700">
              <a:solidFill>
                <a:srgbClr val="000000"/>
              </a:solidFill>
              <a:prstDash val="solid"/>
            </a:ln>
          </c:spPr>
          <c:invertIfNegative val="0"/>
          <c:cat>
            <c:multiLvlStrRef>
              <c:f>'LCA results all'!$A$32:$B$38</c:f>
              <c:multiLvlStrCache>
                <c:ptCount val="7"/>
                <c:lvl>
                  <c:pt idx="0">
                    <c:v> Debits</c:v>
                  </c:pt>
                  <c:pt idx="1">
                    <c:v> Credits</c:v>
                  </c:pt>
                  <c:pt idx="2">
                    <c:v> Debits</c:v>
                  </c:pt>
                  <c:pt idx="3">
                    <c:v> Credits</c:v>
                  </c:pt>
                  <c:pt idx="4">
                    <c:v> Debits</c:v>
                  </c:pt>
                  <c:pt idx="5">
                    <c:v> Credits</c:v>
                  </c:pt>
                  <c:pt idx="6">
                    <c:v> Net</c:v>
                  </c:pt>
                </c:lvl>
                <c:lvl>
                  <c:pt idx="0">
                    <c:v>Recycled waste</c:v>
                  </c:pt>
                  <c:pt idx="2">
                    <c:v>Disposed of waste</c:v>
                  </c:pt>
                  <c:pt idx="4">
                    <c:v>Total MSW treatment</c:v>
                  </c:pt>
                </c:lvl>
              </c:multiLvlStrCache>
            </c:multiLvlStrRef>
          </c:cat>
          <c:val>
            <c:numRef>
              <c:f>'LCA results all'!$E$32:$E$38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FFF4-4281-9814-312966775482}"/>
            </c:ext>
          </c:extLst>
        </c:ser>
        <c:ser>
          <c:idx val="3"/>
          <c:order val="3"/>
          <c:tx>
            <c:strRef>
              <c:f>'LCA results all'!$F$31</c:f>
              <c:strCache>
                <c:ptCount val="1"/>
                <c:pt idx="0">
                  <c:v>Scenario 3</c:v>
                </c:pt>
              </c:strCache>
            </c:strRef>
          </c:tx>
          <c:spPr>
            <a:solidFill>
              <a:srgbClr val="CCCCFF"/>
            </a:solidFill>
            <a:ln w="12700">
              <a:solidFill>
                <a:srgbClr val="000000"/>
              </a:solidFill>
              <a:prstDash val="solid"/>
            </a:ln>
          </c:spPr>
          <c:invertIfNegative val="0"/>
          <c:cat>
            <c:multiLvlStrRef>
              <c:f>'LCA results all'!$A$32:$B$38</c:f>
              <c:multiLvlStrCache>
                <c:ptCount val="7"/>
                <c:lvl>
                  <c:pt idx="0">
                    <c:v> Debits</c:v>
                  </c:pt>
                  <c:pt idx="1">
                    <c:v> Credits</c:v>
                  </c:pt>
                  <c:pt idx="2">
                    <c:v> Debits</c:v>
                  </c:pt>
                  <c:pt idx="3">
                    <c:v> Credits</c:v>
                  </c:pt>
                  <c:pt idx="4">
                    <c:v> Debits</c:v>
                  </c:pt>
                  <c:pt idx="5">
                    <c:v> Credits</c:v>
                  </c:pt>
                  <c:pt idx="6">
                    <c:v> Net</c:v>
                  </c:pt>
                </c:lvl>
                <c:lvl>
                  <c:pt idx="0">
                    <c:v>Recycled waste</c:v>
                  </c:pt>
                  <c:pt idx="2">
                    <c:v>Disposed of waste</c:v>
                  </c:pt>
                  <c:pt idx="4">
                    <c:v>Total MSW treatment</c:v>
                  </c:pt>
                </c:lvl>
              </c:multiLvlStrCache>
            </c:multiLvlStrRef>
          </c:cat>
          <c:val>
            <c:numRef>
              <c:f>'LCA results all'!$F$32:$F$38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FF4-4281-9814-312966775482}"/>
            </c:ext>
          </c:extLst>
        </c:ser>
        <c:dLbls>
          <c:showLegendKey val="0"/>
          <c:showVal val="0"/>
          <c:showCatName val="0"/>
          <c:showSerName val="0"/>
          <c:showPercent val="0"/>
          <c:showBubbleSize val="0"/>
        </c:dLbls>
        <c:gapWidth val="100"/>
        <c:axId val="562603528"/>
        <c:axId val="1"/>
      </c:barChart>
      <c:catAx>
        <c:axId val="5626035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tonne CO2e/yr</a:t>
                </a:r>
              </a:p>
            </c:rich>
          </c:tx>
          <c:layout>
            <c:manualLayout>
              <c:xMode val="edge"/>
              <c:yMode val="edge"/>
              <c:x val="7.8003120124804995E-3"/>
              <c:y val="0.3366336633663366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2603528"/>
        <c:crosses val="autoZero"/>
        <c:crossBetween val="between"/>
      </c:valAx>
      <c:spPr>
        <a:noFill/>
        <a:ln w="3175">
          <a:solidFill>
            <a:srgbClr val="000000"/>
          </a:solidFill>
          <a:prstDash val="solid"/>
        </a:ln>
      </c:spPr>
    </c:plotArea>
    <c:legend>
      <c:legendPos val="r"/>
      <c:layout>
        <c:manualLayout>
          <c:xMode val="edge"/>
          <c:yMode val="edge"/>
          <c:x val="0.1731669266770671"/>
          <c:y val="0.13118811881188119"/>
          <c:w val="0.14508580343213728"/>
          <c:h val="0.1930693069306930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de-DE"/>
              <a:t>GHG emissions</a:t>
            </a:r>
          </a:p>
        </c:rich>
      </c:tx>
      <c:layout>
        <c:manualLayout>
          <c:xMode val="edge"/>
          <c:yMode val="edge"/>
          <c:x val="0.40480308346098731"/>
          <c:y val="1.2315285747101277E-2"/>
        </c:manualLayout>
      </c:layout>
      <c:overlay val="0"/>
      <c:spPr>
        <a:noFill/>
        <a:ln w="25400">
          <a:noFill/>
        </a:ln>
      </c:spPr>
    </c:title>
    <c:autoTitleDeleted val="0"/>
    <c:plotArea>
      <c:layout>
        <c:manualLayout>
          <c:layoutTarget val="inner"/>
          <c:xMode val="edge"/>
          <c:yMode val="edge"/>
          <c:x val="0.17152673028007936"/>
          <c:y val="0.10837451457449124"/>
          <c:w val="0.8027450977107714"/>
          <c:h val="0.78817828781448174"/>
        </c:manualLayout>
      </c:layout>
      <c:barChart>
        <c:barDir val="col"/>
        <c:grouping val="clustered"/>
        <c:varyColors val="0"/>
        <c:ser>
          <c:idx val="0"/>
          <c:order val="0"/>
          <c:tx>
            <c:strRef>
              <c:f>'LCA results all'!$B$36</c:f>
              <c:strCache>
                <c:ptCount val="1"/>
                <c:pt idx="0">
                  <c:v> Debits</c:v>
                </c:pt>
              </c:strCache>
            </c:strRef>
          </c:tx>
          <c:spPr>
            <a:solidFill>
              <a:srgbClr val="FFCC99"/>
            </a:solidFill>
            <a:ln w="12700">
              <a:solidFill>
                <a:srgbClr val="000000"/>
              </a:solidFill>
              <a:prstDash val="solid"/>
            </a:ln>
          </c:spPr>
          <c:invertIfNegative val="0"/>
          <c:cat>
            <c:strRef>
              <c:f>'LCA results all'!$C$31:$F$31</c:f>
              <c:strCache>
                <c:ptCount val="4"/>
                <c:pt idx="0">
                  <c:v>Status Quo</c:v>
                </c:pt>
                <c:pt idx="1">
                  <c:v>Scenario 1</c:v>
                </c:pt>
                <c:pt idx="2">
                  <c:v>Scenario 2</c:v>
                </c:pt>
                <c:pt idx="3">
                  <c:v>Scenario 3</c:v>
                </c:pt>
              </c:strCache>
            </c:strRef>
          </c:cat>
          <c:val>
            <c:numRef>
              <c:f>'LCA results all'!$C$36:$F$36</c:f>
              <c:numCache>
                <c:formatCode>#,##0</c:formatCode>
                <c:ptCount val="4"/>
                <c:pt idx="0">
                  <c:v>0</c:v>
                </c:pt>
                <c:pt idx="1">
                  <c:v>0</c:v>
                </c:pt>
                <c:pt idx="2">
                  <c:v>0</c:v>
                </c:pt>
                <c:pt idx="3">
                  <c:v>0</c:v>
                </c:pt>
              </c:numCache>
            </c:numRef>
          </c:val>
          <c:extLst>
            <c:ext xmlns:c16="http://schemas.microsoft.com/office/drawing/2014/chart" uri="{C3380CC4-5D6E-409C-BE32-E72D297353CC}">
              <c16:uniqueId val="{00000000-823F-4606-ABC7-9F21625EB64C}"/>
            </c:ext>
          </c:extLst>
        </c:ser>
        <c:ser>
          <c:idx val="1"/>
          <c:order val="1"/>
          <c:tx>
            <c:strRef>
              <c:f>'LCA results all'!$B$37</c:f>
              <c:strCache>
                <c:ptCount val="1"/>
                <c:pt idx="0">
                  <c:v> Credits</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cat>
            <c:strRef>
              <c:f>'LCA results all'!$C$31:$F$31</c:f>
              <c:strCache>
                <c:ptCount val="4"/>
                <c:pt idx="0">
                  <c:v>Status Quo</c:v>
                </c:pt>
                <c:pt idx="1">
                  <c:v>Scenario 1</c:v>
                </c:pt>
                <c:pt idx="2">
                  <c:v>Scenario 2</c:v>
                </c:pt>
                <c:pt idx="3">
                  <c:v>Scenario 3</c:v>
                </c:pt>
              </c:strCache>
            </c:strRef>
          </c:cat>
          <c:val>
            <c:numRef>
              <c:f>'LCA results all'!$C$37:$F$37</c:f>
              <c:numCache>
                <c:formatCode>#,##0</c:formatCode>
                <c:ptCount val="4"/>
                <c:pt idx="0">
                  <c:v>0</c:v>
                </c:pt>
                <c:pt idx="1">
                  <c:v>0</c:v>
                </c:pt>
                <c:pt idx="2">
                  <c:v>0</c:v>
                </c:pt>
                <c:pt idx="3">
                  <c:v>0</c:v>
                </c:pt>
              </c:numCache>
            </c:numRef>
          </c:val>
          <c:extLst>
            <c:ext xmlns:c16="http://schemas.microsoft.com/office/drawing/2014/chart" uri="{C3380CC4-5D6E-409C-BE32-E72D297353CC}">
              <c16:uniqueId val="{00000001-823F-4606-ABC7-9F21625EB64C}"/>
            </c:ext>
          </c:extLst>
        </c:ser>
        <c:ser>
          <c:idx val="2"/>
          <c:order val="2"/>
          <c:tx>
            <c:strRef>
              <c:f>'LCA results all'!$B$38</c:f>
              <c:strCache>
                <c:ptCount val="1"/>
                <c:pt idx="0">
                  <c:v> Net</c:v>
                </c:pt>
              </c:strCache>
            </c:strRef>
          </c:tx>
          <c:spPr>
            <a:solidFill>
              <a:srgbClr val="0000FF"/>
            </a:solidFill>
            <a:ln w="12700">
              <a:solidFill>
                <a:srgbClr val="000000"/>
              </a:solidFill>
              <a:prstDash val="solid"/>
            </a:ln>
          </c:spPr>
          <c:invertIfNegative val="0"/>
          <c:cat>
            <c:strRef>
              <c:f>'LCA results all'!$C$31:$F$31</c:f>
              <c:strCache>
                <c:ptCount val="4"/>
                <c:pt idx="0">
                  <c:v>Status Quo</c:v>
                </c:pt>
                <c:pt idx="1">
                  <c:v>Scenario 1</c:v>
                </c:pt>
                <c:pt idx="2">
                  <c:v>Scenario 2</c:v>
                </c:pt>
                <c:pt idx="3">
                  <c:v>Scenario 3</c:v>
                </c:pt>
              </c:strCache>
            </c:strRef>
          </c:cat>
          <c:val>
            <c:numRef>
              <c:f>'LCA results all'!$C$38:$F$38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2-823F-4606-ABC7-9F21625EB64C}"/>
            </c:ext>
          </c:extLst>
        </c:ser>
        <c:dLbls>
          <c:showLegendKey val="0"/>
          <c:showVal val="0"/>
          <c:showCatName val="0"/>
          <c:showSerName val="0"/>
          <c:showPercent val="0"/>
          <c:showBubbleSize val="0"/>
        </c:dLbls>
        <c:gapWidth val="100"/>
        <c:axId val="562731736"/>
        <c:axId val="1"/>
      </c:barChart>
      <c:catAx>
        <c:axId val="5627317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tonne CO2e/yr</a:t>
                </a:r>
              </a:p>
            </c:rich>
          </c:tx>
          <c:layout>
            <c:manualLayout>
              <c:xMode val="edge"/>
              <c:yMode val="edge"/>
              <c:x val="8.5763365140039682E-3"/>
              <c:y val="0.364532458114197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2731736"/>
        <c:crosses val="autoZero"/>
        <c:crossBetween val="between"/>
      </c:valAx>
      <c:spPr>
        <a:noFill/>
        <a:ln w="3175">
          <a:solidFill>
            <a:srgbClr val="000000"/>
          </a:solidFill>
          <a:prstDash val="solid"/>
        </a:ln>
      </c:spPr>
    </c:plotArea>
    <c:legend>
      <c:legendPos val="r"/>
      <c:layout>
        <c:manualLayout>
          <c:xMode val="edge"/>
          <c:yMode val="edge"/>
          <c:x val="0.66098472722878088"/>
          <c:y val="7.3126219101509515E-2"/>
          <c:w val="0.16638092837167698"/>
          <c:h val="0.1822662290570989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recycling</a:t>
            </a:r>
          </a:p>
        </c:rich>
      </c:tx>
      <c:layout>
        <c:manualLayout>
          <c:xMode val="edge"/>
          <c:yMode val="edge"/>
          <c:x val="0.24764179461991753"/>
          <c:y val="1.7595307917888565E-2"/>
        </c:manualLayout>
      </c:layout>
      <c:overlay val="0"/>
      <c:spPr>
        <a:noFill/>
        <a:ln w="25400">
          <a:noFill/>
        </a:ln>
      </c:spPr>
    </c:title>
    <c:autoTitleDeleted val="0"/>
    <c:plotArea>
      <c:layout>
        <c:manualLayout>
          <c:layoutTarget val="inner"/>
          <c:xMode val="edge"/>
          <c:yMode val="edge"/>
          <c:x val="0.23584932820944526"/>
          <c:y val="0.10263929618768329"/>
          <c:w val="0.45518920344422936"/>
          <c:h val="0.77126099706744866"/>
        </c:manualLayout>
      </c:layout>
      <c:barChart>
        <c:barDir val="col"/>
        <c:grouping val="stacked"/>
        <c:varyColors val="0"/>
        <c:ser>
          <c:idx val="0"/>
          <c:order val="0"/>
          <c:tx>
            <c:strRef>
              <c:f>'LCA SQ'!$B$63</c:f>
              <c:strCache>
                <c:ptCount val="1"/>
                <c:pt idx="0">
                  <c:v>Food waste</c:v>
                </c:pt>
              </c:strCache>
            </c:strRef>
          </c:tx>
          <c:spPr>
            <a:solidFill>
              <a:srgbClr val="99CC00"/>
            </a:solidFill>
            <a:ln w="12700">
              <a:solidFill>
                <a:srgbClr val="000000"/>
              </a:solidFill>
              <a:prstDash val="solid"/>
            </a:ln>
          </c:spPr>
          <c:invertIfNegative val="0"/>
          <c:cat>
            <c:strRef>
              <c:f>'LCA SQ'!$C$62:$D$62</c:f>
              <c:strCache>
                <c:ptCount val="2"/>
                <c:pt idx="0">
                  <c:v>Recycled waste</c:v>
                </c:pt>
                <c:pt idx="1">
                  <c:v>Net</c:v>
                </c:pt>
              </c:strCache>
            </c:strRef>
          </c:cat>
          <c:val>
            <c:numRef>
              <c:f>'LCA SQ'!$C$63:$D$63</c:f>
              <c:numCache>
                <c:formatCode>General</c:formatCode>
                <c:ptCount val="2"/>
                <c:pt idx="0" formatCode="#,##0">
                  <c:v>0</c:v>
                </c:pt>
              </c:numCache>
            </c:numRef>
          </c:val>
          <c:extLst>
            <c:ext xmlns:c16="http://schemas.microsoft.com/office/drawing/2014/chart" uri="{C3380CC4-5D6E-409C-BE32-E72D297353CC}">
              <c16:uniqueId val="{00000000-B834-49FD-8685-78D7CCD16F14}"/>
            </c:ext>
          </c:extLst>
        </c:ser>
        <c:ser>
          <c:idx val="1"/>
          <c:order val="1"/>
          <c:tx>
            <c:strRef>
              <c:f>'LCA SQ'!$B$64</c:f>
              <c:strCache>
                <c:ptCount val="1"/>
                <c:pt idx="0">
                  <c:v>Garden and Park waste</c:v>
                </c:pt>
              </c:strCache>
            </c:strRef>
          </c:tx>
          <c:spPr>
            <a:solidFill>
              <a:srgbClr val="000080"/>
            </a:solidFill>
            <a:ln w="12700">
              <a:solidFill>
                <a:srgbClr val="000000"/>
              </a:solidFill>
              <a:prstDash val="solid"/>
            </a:ln>
          </c:spPr>
          <c:invertIfNegative val="0"/>
          <c:cat>
            <c:strRef>
              <c:f>'LCA SQ'!$C$62:$D$62</c:f>
              <c:strCache>
                <c:ptCount val="2"/>
                <c:pt idx="0">
                  <c:v>Recycled waste</c:v>
                </c:pt>
                <c:pt idx="1">
                  <c:v>Net</c:v>
                </c:pt>
              </c:strCache>
            </c:strRef>
          </c:cat>
          <c:val>
            <c:numRef>
              <c:f>'LCA SQ'!$C$64:$D$64</c:f>
              <c:numCache>
                <c:formatCode>General</c:formatCode>
                <c:ptCount val="2"/>
                <c:pt idx="0" formatCode="#,##0">
                  <c:v>0</c:v>
                </c:pt>
              </c:numCache>
            </c:numRef>
          </c:val>
          <c:extLst>
            <c:ext xmlns:c16="http://schemas.microsoft.com/office/drawing/2014/chart" uri="{C3380CC4-5D6E-409C-BE32-E72D297353CC}">
              <c16:uniqueId val="{00000001-B834-49FD-8685-78D7CCD16F14}"/>
            </c:ext>
          </c:extLst>
        </c:ser>
        <c:ser>
          <c:idx val="2"/>
          <c:order val="2"/>
          <c:tx>
            <c:strRef>
              <c:f>'LCA SQ'!$B$65</c:f>
              <c:strCache>
                <c:ptCount val="1"/>
                <c:pt idx="0">
                  <c:v>Paper, cardboard</c:v>
                </c:pt>
              </c:strCache>
            </c:strRef>
          </c:tx>
          <c:spPr>
            <a:solidFill>
              <a:srgbClr val="CC99FF"/>
            </a:solidFill>
            <a:ln w="12700">
              <a:solidFill>
                <a:srgbClr val="000000"/>
              </a:solidFill>
              <a:prstDash val="solid"/>
            </a:ln>
          </c:spPr>
          <c:invertIfNegative val="0"/>
          <c:cat>
            <c:strRef>
              <c:f>'LCA SQ'!$C$62:$D$62</c:f>
              <c:strCache>
                <c:ptCount val="2"/>
                <c:pt idx="0">
                  <c:v>Recycled waste</c:v>
                </c:pt>
                <c:pt idx="1">
                  <c:v>Net</c:v>
                </c:pt>
              </c:strCache>
            </c:strRef>
          </c:cat>
          <c:val>
            <c:numRef>
              <c:f>'LCA SQ'!$C$65:$D$65</c:f>
              <c:numCache>
                <c:formatCode>General</c:formatCode>
                <c:ptCount val="2"/>
                <c:pt idx="0" formatCode="#,##0">
                  <c:v>0</c:v>
                </c:pt>
              </c:numCache>
            </c:numRef>
          </c:val>
          <c:extLst>
            <c:ext xmlns:c16="http://schemas.microsoft.com/office/drawing/2014/chart" uri="{C3380CC4-5D6E-409C-BE32-E72D297353CC}">
              <c16:uniqueId val="{00000002-B834-49FD-8685-78D7CCD16F14}"/>
            </c:ext>
          </c:extLst>
        </c:ser>
        <c:ser>
          <c:idx val="3"/>
          <c:order val="3"/>
          <c:tx>
            <c:strRef>
              <c:f>'LCA SQ'!$B$66</c:f>
              <c:strCache>
                <c:ptCount val="1"/>
                <c:pt idx="0">
                  <c:v>Plastics</c:v>
                </c:pt>
              </c:strCache>
            </c:strRef>
          </c:tx>
          <c:spPr>
            <a:solidFill>
              <a:srgbClr val="FFFF00"/>
            </a:solidFill>
            <a:ln w="12700">
              <a:solidFill>
                <a:srgbClr val="000000"/>
              </a:solidFill>
              <a:prstDash val="solid"/>
            </a:ln>
          </c:spPr>
          <c:invertIfNegative val="0"/>
          <c:cat>
            <c:strRef>
              <c:f>'LCA SQ'!$C$62:$D$62</c:f>
              <c:strCache>
                <c:ptCount val="2"/>
                <c:pt idx="0">
                  <c:v>Recycled waste</c:v>
                </c:pt>
                <c:pt idx="1">
                  <c:v>Net</c:v>
                </c:pt>
              </c:strCache>
            </c:strRef>
          </c:cat>
          <c:val>
            <c:numRef>
              <c:f>'LCA SQ'!$C$66:$D$66</c:f>
              <c:numCache>
                <c:formatCode>General</c:formatCode>
                <c:ptCount val="2"/>
                <c:pt idx="0" formatCode="#,##0">
                  <c:v>0</c:v>
                </c:pt>
              </c:numCache>
            </c:numRef>
          </c:val>
          <c:extLst>
            <c:ext xmlns:c16="http://schemas.microsoft.com/office/drawing/2014/chart" uri="{C3380CC4-5D6E-409C-BE32-E72D297353CC}">
              <c16:uniqueId val="{00000003-B834-49FD-8685-78D7CCD16F14}"/>
            </c:ext>
          </c:extLst>
        </c:ser>
        <c:ser>
          <c:idx val="4"/>
          <c:order val="4"/>
          <c:tx>
            <c:strRef>
              <c:f>'LCA SQ'!$B$67</c:f>
              <c:strCache>
                <c:ptCount val="1"/>
                <c:pt idx="0">
                  <c:v>Glass</c:v>
                </c:pt>
              </c:strCache>
            </c:strRef>
          </c:tx>
          <c:spPr>
            <a:solidFill>
              <a:srgbClr val="FF99CC"/>
            </a:solidFill>
            <a:ln w="12700">
              <a:solidFill>
                <a:srgbClr val="000000"/>
              </a:solidFill>
              <a:prstDash val="solid"/>
            </a:ln>
          </c:spPr>
          <c:invertIfNegative val="0"/>
          <c:cat>
            <c:strRef>
              <c:f>'LCA SQ'!$C$62:$D$62</c:f>
              <c:strCache>
                <c:ptCount val="2"/>
                <c:pt idx="0">
                  <c:v>Recycled waste</c:v>
                </c:pt>
                <c:pt idx="1">
                  <c:v>Net</c:v>
                </c:pt>
              </c:strCache>
            </c:strRef>
          </c:cat>
          <c:val>
            <c:numRef>
              <c:f>'LCA SQ'!$C$67:$D$67</c:f>
              <c:numCache>
                <c:formatCode>General</c:formatCode>
                <c:ptCount val="2"/>
                <c:pt idx="0" formatCode="#,##0">
                  <c:v>0</c:v>
                </c:pt>
              </c:numCache>
            </c:numRef>
          </c:val>
          <c:extLst>
            <c:ext xmlns:c16="http://schemas.microsoft.com/office/drawing/2014/chart" uri="{C3380CC4-5D6E-409C-BE32-E72D297353CC}">
              <c16:uniqueId val="{00000004-B834-49FD-8685-78D7CCD16F14}"/>
            </c:ext>
          </c:extLst>
        </c:ser>
        <c:ser>
          <c:idx val="5"/>
          <c:order val="5"/>
          <c:tx>
            <c:strRef>
              <c:f>'LCA SQ'!$B$68</c:f>
              <c:strCache>
                <c:ptCount val="1"/>
                <c:pt idx="0">
                  <c:v>Ferrous Metals</c:v>
                </c:pt>
              </c:strCache>
            </c:strRef>
          </c:tx>
          <c:spPr>
            <a:solidFill>
              <a:srgbClr val="C0C0C0"/>
            </a:solidFill>
            <a:ln w="12700">
              <a:solidFill>
                <a:srgbClr val="000000"/>
              </a:solidFill>
              <a:prstDash val="solid"/>
            </a:ln>
          </c:spPr>
          <c:invertIfNegative val="0"/>
          <c:cat>
            <c:strRef>
              <c:f>'LCA SQ'!$C$62:$D$62</c:f>
              <c:strCache>
                <c:ptCount val="2"/>
                <c:pt idx="0">
                  <c:v>Recycled waste</c:v>
                </c:pt>
                <c:pt idx="1">
                  <c:v>Net</c:v>
                </c:pt>
              </c:strCache>
            </c:strRef>
          </c:cat>
          <c:val>
            <c:numRef>
              <c:f>'LCA SQ'!$C$68:$D$68</c:f>
              <c:numCache>
                <c:formatCode>General</c:formatCode>
                <c:ptCount val="2"/>
                <c:pt idx="0" formatCode="#,##0">
                  <c:v>0</c:v>
                </c:pt>
              </c:numCache>
            </c:numRef>
          </c:val>
          <c:extLst>
            <c:ext xmlns:c16="http://schemas.microsoft.com/office/drawing/2014/chart" uri="{C3380CC4-5D6E-409C-BE32-E72D297353CC}">
              <c16:uniqueId val="{00000005-B834-49FD-8685-78D7CCD16F14}"/>
            </c:ext>
          </c:extLst>
        </c:ser>
        <c:ser>
          <c:idx val="6"/>
          <c:order val="6"/>
          <c:tx>
            <c:strRef>
              <c:f>'LCA SQ'!$B$69</c:f>
              <c:strCache>
                <c:ptCount val="1"/>
                <c:pt idx="0">
                  <c:v>Aluminium</c:v>
                </c:pt>
              </c:strCache>
            </c:strRef>
          </c:tx>
          <c:spPr>
            <a:solidFill>
              <a:srgbClr val="993366"/>
            </a:solidFill>
            <a:ln w="12700">
              <a:solidFill>
                <a:srgbClr val="000000"/>
              </a:solidFill>
              <a:prstDash val="solid"/>
            </a:ln>
          </c:spPr>
          <c:invertIfNegative val="0"/>
          <c:cat>
            <c:strRef>
              <c:f>'LCA SQ'!$C$62:$D$62</c:f>
              <c:strCache>
                <c:ptCount val="2"/>
                <c:pt idx="0">
                  <c:v>Recycled waste</c:v>
                </c:pt>
                <c:pt idx="1">
                  <c:v>Net</c:v>
                </c:pt>
              </c:strCache>
            </c:strRef>
          </c:cat>
          <c:val>
            <c:numRef>
              <c:f>'LCA SQ'!$C$69:$D$69</c:f>
              <c:numCache>
                <c:formatCode>General</c:formatCode>
                <c:ptCount val="2"/>
                <c:pt idx="0" formatCode="#,##0">
                  <c:v>0</c:v>
                </c:pt>
              </c:numCache>
            </c:numRef>
          </c:val>
          <c:extLst>
            <c:ext xmlns:c16="http://schemas.microsoft.com/office/drawing/2014/chart" uri="{C3380CC4-5D6E-409C-BE32-E72D297353CC}">
              <c16:uniqueId val="{00000006-B834-49FD-8685-78D7CCD16F14}"/>
            </c:ext>
          </c:extLst>
        </c:ser>
        <c:ser>
          <c:idx val="7"/>
          <c:order val="7"/>
          <c:tx>
            <c:strRef>
              <c:f>'LCA SQ'!$B$70</c:f>
              <c:strCache>
                <c:ptCount val="1"/>
              </c:strCache>
            </c:strRef>
          </c:tx>
          <c:spPr>
            <a:solidFill>
              <a:srgbClr val="9999FF"/>
            </a:solidFill>
            <a:ln w="12700">
              <a:solidFill>
                <a:srgbClr val="000000"/>
              </a:solidFill>
              <a:prstDash val="solid"/>
            </a:ln>
          </c:spPr>
          <c:invertIfNegative val="0"/>
          <c:cat>
            <c:strRef>
              <c:f>'LCA SQ'!$C$62:$D$62</c:f>
              <c:strCache>
                <c:ptCount val="2"/>
                <c:pt idx="0">
                  <c:v>Recycled waste</c:v>
                </c:pt>
                <c:pt idx="1">
                  <c:v>Net</c:v>
                </c:pt>
              </c:strCache>
            </c:strRef>
          </c:cat>
          <c:val>
            <c:numRef>
              <c:f>'LCA SQ'!$C$70:$D$70</c:f>
              <c:numCache>
                <c:formatCode>General</c:formatCode>
                <c:ptCount val="2"/>
              </c:numCache>
            </c:numRef>
          </c:val>
          <c:extLst>
            <c:ext xmlns:c16="http://schemas.microsoft.com/office/drawing/2014/chart" uri="{C3380CC4-5D6E-409C-BE32-E72D297353CC}">
              <c16:uniqueId val="{00000007-B834-49FD-8685-78D7CCD16F14}"/>
            </c:ext>
          </c:extLst>
        </c:ser>
        <c:ser>
          <c:idx val="8"/>
          <c:order val="8"/>
          <c:tx>
            <c:strRef>
              <c:f>'LCA SQ'!$B$71</c:f>
              <c:strCache>
                <c:ptCount val="1"/>
                <c:pt idx="0">
                  <c:v>Debits</c:v>
                </c:pt>
              </c:strCache>
            </c:strRef>
          </c:tx>
          <c:spPr>
            <a:noFill/>
            <a:ln w="25400">
              <a:noFill/>
            </a:ln>
          </c:spPr>
          <c:invertIfNegative val="0"/>
          <c:cat>
            <c:strRef>
              <c:f>'LCA SQ'!$C$62:$D$62</c:f>
              <c:strCache>
                <c:ptCount val="2"/>
                <c:pt idx="0">
                  <c:v>Recycled waste</c:v>
                </c:pt>
                <c:pt idx="1">
                  <c:v>Net</c:v>
                </c:pt>
              </c:strCache>
            </c:strRef>
          </c:cat>
          <c:val>
            <c:numRef>
              <c:f>'LCA SQ'!$C$71:$D$71</c:f>
              <c:numCache>
                <c:formatCode>#,##0</c:formatCode>
                <c:ptCount val="2"/>
              </c:numCache>
            </c:numRef>
          </c:val>
          <c:extLst>
            <c:ext xmlns:c16="http://schemas.microsoft.com/office/drawing/2014/chart" uri="{C3380CC4-5D6E-409C-BE32-E72D297353CC}">
              <c16:uniqueId val="{00000008-B834-49FD-8685-78D7CCD16F14}"/>
            </c:ext>
          </c:extLst>
        </c:ser>
        <c:ser>
          <c:idx val="9"/>
          <c:order val="9"/>
          <c:tx>
            <c:strRef>
              <c:f>'LCA SQ'!$B$72</c:f>
              <c:strCache>
                <c:ptCount val="1"/>
                <c:pt idx="0">
                  <c:v>Food waste</c:v>
                </c:pt>
              </c:strCache>
            </c:strRef>
          </c:tx>
          <c:spPr>
            <a:pattFill prst="wdDn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SQ'!$C$72:$D$72</c:f>
              <c:numCache>
                <c:formatCode>General</c:formatCode>
                <c:ptCount val="2"/>
                <c:pt idx="0" formatCode="#,##0">
                  <c:v>0</c:v>
                </c:pt>
              </c:numCache>
            </c:numRef>
          </c:val>
          <c:extLst>
            <c:ext xmlns:c16="http://schemas.microsoft.com/office/drawing/2014/chart" uri="{C3380CC4-5D6E-409C-BE32-E72D297353CC}">
              <c16:uniqueId val="{00000009-B834-49FD-8685-78D7CCD16F14}"/>
            </c:ext>
          </c:extLst>
        </c:ser>
        <c:ser>
          <c:idx val="10"/>
          <c:order val="10"/>
          <c:tx>
            <c:strRef>
              <c:f>'LCA SQ'!$B$73</c:f>
              <c:strCache>
                <c:ptCount val="1"/>
                <c:pt idx="0">
                  <c:v>Garden and Park waste</c:v>
                </c:pt>
              </c:strCache>
            </c:strRef>
          </c:tx>
          <c:spPr>
            <a:pattFill prst="wdUpDiag">
              <a:fgClr>
                <a:srgbClr xmlns:mc="http://schemas.openxmlformats.org/markup-compatibility/2006" xmlns:a14="http://schemas.microsoft.com/office/drawing/2010/main" val="000080" mc:Ignorable="a14" a14:legacySpreadsheetColorIndex="3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SQ'!$C$73:$D$73</c:f>
              <c:numCache>
                <c:formatCode>General</c:formatCode>
                <c:ptCount val="2"/>
                <c:pt idx="0" formatCode="#,##0">
                  <c:v>0</c:v>
                </c:pt>
              </c:numCache>
            </c:numRef>
          </c:val>
          <c:extLst>
            <c:ext xmlns:c16="http://schemas.microsoft.com/office/drawing/2014/chart" uri="{C3380CC4-5D6E-409C-BE32-E72D297353CC}">
              <c16:uniqueId val="{0000000A-B834-49FD-8685-78D7CCD16F14}"/>
            </c:ext>
          </c:extLst>
        </c:ser>
        <c:ser>
          <c:idx val="11"/>
          <c:order val="11"/>
          <c:tx>
            <c:strRef>
              <c:f>'LCA SQ'!$B$74</c:f>
              <c:strCache>
                <c:ptCount val="1"/>
                <c:pt idx="0">
                  <c:v>Paper, cardboard</c:v>
                </c:pt>
              </c:strCache>
            </c:strRef>
          </c:tx>
          <c:spPr>
            <a:pattFill prst="wdDnDiag">
              <a:fgClr>
                <a:srgbClr xmlns:mc="http://schemas.openxmlformats.org/markup-compatibility/2006" xmlns:a14="http://schemas.microsoft.com/office/drawing/2010/main" val="CC99FF" mc:Ignorable="a14" a14:legacySpreadsheetColorIndex="46"/>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SQ'!$C$74:$D$74</c:f>
              <c:numCache>
                <c:formatCode>General</c:formatCode>
                <c:ptCount val="2"/>
                <c:pt idx="0" formatCode="#,##0">
                  <c:v>0</c:v>
                </c:pt>
              </c:numCache>
            </c:numRef>
          </c:val>
          <c:extLst>
            <c:ext xmlns:c16="http://schemas.microsoft.com/office/drawing/2014/chart" uri="{C3380CC4-5D6E-409C-BE32-E72D297353CC}">
              <c16:uniqueId val="{0000000B-B834-49FD-8685-78D7CCD16F14}"/>
            </c:ext>
          </c:extLst>
        </c:ser>
        <c:ser>
          <c:idx val="12"/>
          <c:order val="12"/>
          <c:tx>
            <c:strRef>
              <c:f>'LCA SQ'!$B$75</c:f>
              <c:strCache>
                <c:ptCount val="1"/>
                <c:pt idx="0">
                  <c:v>Plastics</c:v>
                </c:pt>
              </c:strCache>
            </c:strRef>
          </c:tx>
          <c:spPr>
            <a:pattFill prst="wdUpDiag">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SQ'!$C$75:$D$75</c:f>
              <c:numCache>
                <c:formatCode>General</c:formatCode>
                <c:ptCount val="2"/>
                <c:pt idx="0" formatCode="#,##0">
                  <c:v>0</c:v>
                </c:pt>
              </c:numCache>
            </c:numRef>
          </c:val>
          <c:extLst>
            <c:ext xmlns:c16="http://schemas.microsoft.com/office/drawing/2014/chart" uri="{C3380CC4-5D6E-409C-BE32-E72D297353CC}">
              <c16:uniqueId val="{0000000C-B834-49FD-8685-78D7CCD16F14}"/>
            </c:ext>
          </c:extLst>
        </c:ser>
        <c:ser>
          <c:idx val="13"/>
          <c:order val="13"/>
          <c:tx>
            <c:strRef>
              <c:f>'LCA SQ'!$B$76</c:f>
              <c:strCache>
                <c:ptCount val="1"/>
                <c:pt idx="0">
                  <c:v>Glass</c:v>
                </c:pt>
              </c:strCache>
            </c:strRef>
          </c:tx>
          <c:spPr>
            <a:pattFill prst="wdDn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SQ'!$C$76:$D$76</c:f>
              <c:numCache>
                <c:formatCode>General</c:formatCode>
                <c:ptCount val="2"/>
                <c:pt idx="0" formatCode="#,##0">
                  <c:v>0</c:v>
                </c:pt>
              </c:numCache>
            </c:numRef>
          </c:val>
          <c:extLst>
            <c:ext xmlns:c16="http://schemas.microsoft.com/office/drawing/2014/chart" uri="{C3380CC4-5D6E-409C-BE32-E72D297353CC}">
              <c16:uniqueId val="{0000000D-B834-49FD-8685-78D7CCD16F14}"/>
            </c:ext>
          </c:extLst>
        </c:ser>
        <c:ser>
          <c:idx val="14"/>
          <c:order val="14"/>
          <c:tx>
            <c:strRef>
              <c:f>'LCA SQ'!$B$77</c:f>
              <c:strCache>
                <c:ptCount val="1"/>
                <c:pt idx="0">
                  <c:v>Ferrous Metals</c:v>
                </c:pt>
              </c:strCache>
            </c:strRef>
          </c:tx>
          <c:spPr>
            <a:pattFill prst="wdUp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SQ'!$C$77:$D$77</c:f>
              <c:numCache>
                <c:formatCode>General</c:formatCode>
                <c:ptCount val="2"/>
                <c:pt idx="0" formatCode="#,##0">
                  <c:v>0</c:v>
                </c:pt>
              </c:numCache>
            </c:numRef>
          </c:val>
          <c:extLst>
            <c:ext xmlns:c16="http://schemas.microsoft.com/office/drawing/2014/chart" uri="{C3380CC4-5D6E-409C-BE32-E72D297353CC}">
              <c16:uniqueId val="{0000000E-B834-49FD-8685-78D7CCD16F14}"/>
            </c:ext>
          </c:extLst>
        </c:ser>
        <c:ser>
          <c:idx val="15"/>
          <c:order val="15"/>
          <c:tx>
            <c:strRef>
              <c:f>'LCA SQ'!$B$78</c:f>
              <c:strCache>
                <c:ptCount val="1"/>
                <c:pt idx="0">
                  <c:v>Aluminium</c:v>
                </c:pt>
              </c:strCache>
            </c:strRef>
          </c:tx>
          <c:spPr>
            <a:pattFill prst="wd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SQ'!$C$78:$D$78</c:f>
              <c:numCache>
                <c:formatCode>General</c:formatCode>
                <c:ptCount val="2"/>
                <c:pt idx="0" formatCode="#,##0">
                  <c:v>0</c:v>
                </c:pt>
              </c:numCache>
            </c:numRef>
          </c:val>
          <c:extLst>
            <c:ext xmlns:c16="http://schemas.microsoft.com/office/drawing/2014/chart" uri="{C3380CC4-5D6E-409C-BE32-E72D297353CC}">
              <c16:uniqueId val="{0000000F-B834-49FD-8685-78D7CCD16F14}"/>
            </c:ext>
          </c:extLst>
        </c:ser>
        <c:ser>
          <c:idx val="16"/>
          <c:order val="16"/>
          <c:tx>
            <c:strRef>
              <c:f>'LCA SQ'!$B$79</c:f>
              <c:strCache>
                <c:ptCount val="1"/>
              </c:strCache>
            </c:strRef>
          </c:tx>
          <c:spPr>
            <a:pattFill prst="wdUpDiag">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SQ'!$C$62:$D$62</c:f>
              <c:strCache>
                <c:ptCount val="2"/>
                <c:pt idx="0">
                  <c:v>Recycled waste</c:v>
                </c:pt>
                <c:pt idx="1">
                  <c:v>Net</c:v>
                </c:pt>
              </c:strCache>
            </c:strRef>
          </c:cat>
          <c:val>
            <c:numRef>
              <c:f>'LCA SQ'!$C$79:$D$79</c:f>
              <c:numCache>
                <c:formatCode>General</c:formatCode>
                <c:ptCount val="2"/>
              </c:numCache>
            </c:numRef>
          </c:val>
          <c:extLst>
            <c:ext xmlns:c16="http://schemas.microsoft.com/office/drawing/2014/chart" uri="{C3380CC4-5D6E-409C-BE32-E72D297353CC}">
              <c16:uniqueId val="{00000010-B834-49FD-8685-78D7CCD16F14}"/>
            </c:ext>
          </c:extLst>
        </c:ser>
        <c:ser>
          <c:idx val="17"/>
          <c:order val="17"/>
          <c:tx>
            <c:strRef>
              <c:f>'LCA SQ'!$B$80</c:f>
              <c:strCache>
                <c:ptCount val="1"/>
                <c:pt idx="0">
                  <c:v>Credits</c:v>
                </c:pt>
              </c:strCache>
            </c:strRef>
          </c:tx>
          <c:spPr>
            <a:noFill/>
            <a:ln w="25400">
              <a:noFill/>
            </a:ln>
          </c:spPr>
          <c:invertIfNegative val="0"/>
          <c:cat>
            <c:strRef>
              <c:f>'LCA SQ'!$C$62:$D$62</c:f>
              <c:strCache>
                <c:ptCount val="2"/>
                <c:pt idx="0">
                  <c:v>Recycled waste</c:v>
                </c:pt>
                <c:pt idx="1">
                  <c:v>Net</c:v>
                </c:pt>
              </c:strCache>
            </c:strRef>
          </c:cat>
          <c:val>
            <c:numRef>
              <c:f>'LCA SQ'!$C$80:$D$80</c:f>
              <c:numCache>
                <c:formatCode>#,##0</c:formatCode>
                <c:ptCount val="2"/>
              </c:numCache>
            </c:numRef>
          </c:val>
          <c:extLst>
            <c:ext xmlns:c16="http://schemas.microsoft.com/office/drawing/2014/chart" uri="{C3380CC4-5D6E-409C-BE32-E72D297353CC}">
              <c16:uniqueId val="{00000011-B834-49FD-8685-78D7CCD16F14}"/>
            </c:ext>
          </c:extLst>
        </c:ser>
        <c:ser>
          <c:idx val="18"/>
          <c:order val="18"/>
          <c:tx>
            <c:strRef>
              <c:f>'LCA SQ'!$B$81</c:f>
              <c:strCache>
                <c:ptCount val="1"/>
                <c:pt idx="0">
                  <c:v>Net</c:v>
                </c:pt>
              </c:strCache>
            </c:strRef>
          </c:tx>
          <c:spPr>
            <a:solidFill>
              <a:srgbClr val="0000FF"/>
            </a:solidFill>
            <a:ln w="12700">
              <a:solidFill>
                <a:srgbClr val="000000"/>
              </a:solidFill>
              <a:prstDash val="solid"/>
            </a:ln>
          </c:spPr>
          <c:invertIfNegative val="0"/>
          <c:cat>
            <c:strRef>
              <c:f>'LCA SQ'!$C$62:$D$62</c:f>
              <c:strCache>
                <c:ptCount val="2"/>
                <c:pt idx="0">
                  <c:v>Recycled waste</c:v>
                </c:pt>
                <c:pt idx="1">
                  <c:v>Net</c:v>
                </c:pt>
              </c:strCache>
            </c:strRef>
          </c:cat>
          <c:val>
            <c:numRef>
              <c:f>'LCA SQ'!$C$81:$D$81</c:f>
              <c:numCache>
                <c:formatCode>#,##0</c:formatCode>
                <c:ptCount val="2"/>
                <c:pt idx="1">
                  <c:v>0</c:v>
                </c:pt>
              </c:numCache>
            </c:numRef>
          </c:val>
          <c:extLst>
            <c:ext xmlns:c16="http://schemas.microsoft.com/office/drawing/2014/chart" uri="{C3380CC4-5D6E-409C-BE32-E72D297353CC}">
              <c16:uniqueId val="{00000012-B834-49FD-8685-78D7CCD16F14}"/>
            </c:ext>
          </c:extLst>
        </c:ser>
        <c:dLbls>
          <c:showLegendKey val="0"/>
          <c:showVal val="0"/>
          <c:showCatName val="0"/>
          <c:showSerName val="0"/>
          <c:showPercent val="0"/>
          <c:showBubbleSize val="0"/>
        </c:dLbls>
        <c:gapWidth val="100"/>
        <c:overlap val="100"/>
        <c:axId val="561437968"/>
        <c:axId val="1"/>
      </c:barChart>
      <c:catAx>
        <c:axId val="561437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tonne CO2e/yr</a:t>
                </a:r>
              </a:p>
            </c:rich>
          </c:tx>
          <c:layout>
            <c:manualLayout>
              <c:xMode val="edge"/>
              <c:yMode val="edge"/>
              <c:x val="3.5377399231416785E-2"/>
              <c:y val="0.348973607038123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1437968"/>
        <c:crosses val="autoZero"/>
        <c:crossBetween val="between"/>
      </c:valAx>
      <c:spPr>
        <a:noFill/>
        <a:ln w="12700">
          <a:solidFill>
            <a:srgbClr val="808080"/>
          </a:solidFill>
          <a:prstDash val="solid"/>
        </a:ln>
      </c:spPr>
    </c:plotArea>
    <c:legend>
      <c:legendPos val="r"/>
      <c:legendEntry>
        <c:idx val="0"/>
        <c:txPr>
          <a:bodyPr/>
          <a:lstStyle/>
          <a:p>
            <a:pPr>
              <a:defRPr sz="755" b="1" i="0" u="none" strike="noStrike" baseline="0">
                <a:solidFill>
                  <a:srgbClr val="000000"/>
                </a:solidFill>
                <a:latin typeface="Arial"/>
                <a:ea typeface="Arial"/>
                <a:cs typeface="Arial"/>
              </a:defRPr>
            </a:pPr>
            <a:endParaRPr lang="de-DE"/>
          </a:p>
        </c:txPr>
      </c:legendEntry>
      <c:legendEntry>
        <c:idx val="1"/>
        <c:txPr>
          <a:bodyPr/>
          <a:lstStyle/>
          <a:p>
            <a:pPr>
              <a:defRPr sz="755" b="1" i="0" u="none" strike="noStrike" baseline="0">
                <a:solidFill>
                  <a:srgbClr val="000000"/>
                </a:solidFill>
                <a:latin typeface="Arial"/>
                <a:ea typeface="Arial"/>
                <a:cs typeface="Arial"/>
              </a:defRPr>
            </a:pPr>
            <a:endParaRPr lang="de-DE"/>
          </a:p>
        </c:txPr>
      </c:legendEntry>
      <c:legendEntry>
        <c:idx val="2"/>
        <c:delete val="1"/>
      </c:legendEntry>
      <c:legendEntry>
        <c:idx val="4"/>
        <c:txPr>
          <a:bodyPr/>
          <a:lstStyle/>
          <a:p>
            <a:pPr>
              <a:defRPr sz="755" b="0" i="0" u="none" strike="noStrike" baseline="0">
                <a:solidFill>
                  <a:srgbClr val="000000"/>
                </a:solidFill>
                <a:latin typeface="Arial"/>
                <a:ea typeface="Arial"/>
                <a:cs typeface="Arial"/>
              </a:defRPr>
            </a:pPr>
            <a:endParaRPr lang="de-DE"/>
          </a:p>
        </c:txPr>
      </c:legendEntry>
      <c:legendEntry>
        <c:idx val="5"/>
        <c:txPr>
          <a:bodyPr/>
          <a:lstStyle/>
          <a:p>
            <a:pPr>
              <a:defRPr sz="755" b="0" i="0" u="none" strike="noStrike" baseline="0">
                <a:solidFill>
                  <a:srgbClr val="000000"/>
                </a:solidFill>
                <a:latin typeface="Arial"/>
                <a:ea typeface="Arial"/>
                <a:cs typeface="Arial"/>
              </a:defRPr>
            </a:pPr>
            <a:endParaRPr lang="de-DE"/>
          </a:p>
        </c:txPr>
      </c:legendEntry>
      <c:legendEntry>
        <c:idx val="6"/>
        <c:txPr>
          <a:bodyPr/>
          <a:lstStyle/>
          <a:p>
            <a:pPr>
              <a:defRPr sz="755" b="0" i="0" u="none" strike="noStrike" baseline="0">
                <a:solidFill>
                  <a:srgbClr val="000000"/>
                </a:solidFill>
                <a:latin typeface="Arial"/>
                <a:ea typeface="Arial"/>
                <a:cs typeface="Arial"/>
              </a:defRPr>
            </a:pPr>
            <a:endParaRPr lang="de-DE"/>
          </a:p>
        </c:txPr>
      </c:legendEntry>
      <c:legendEntry>
        <c:idx val="7"/>
        <c:txPr>
          <a:bodyPr/>
          <a:lstStyle/>
          <a:p>
            <a:pPr>
              <a:defRPr sz="755" b="0" i="0" u="none" strike="noStrike" baseline="0">
                <a:solidFill>
                  <a:srgbClr val="000000"/>
                </a:solidFill>
                <a:latin typeface="Arial"/>
                <a:ea typeface="Arial"/>
                <a:cs typeface="Arial"/>
              </a:defRPr>
            </a:pPr>
            <a:endParaRPr lang="de-DE"/>
          </a:p>
        </c:txPr>
      </c:legendEntry>
      <c:legendEntry>
        <c:idx val="9"/>
        <c:txPr>
          <a:bodyPr/>
          <a:lstStyle/>
          <a:p>
            <a:pPr>
              <a:defRPr sz="755" b="0" i="0" u="none" strike="noStrike" baseline="0">
                <a:solidFill>
                  <a:srgbClr val="000000"/>
                </a:solidFill>
                <a:latin typeface="Arial"/>
                <a:ea typeface="Arial"/>
                <a:cs typeface="Arial"/>
              </a:defRPr>
            </a:pPr>
            <a:endParaRPr lang="de-DE"/>
          </a:p>
        </c:txPr>
      </c:legendEntry>
      <c:legendEntry>
        <c:idx val="10"/>
        <c:txPr>
          <a:bodyPr/>
          <a:lstStyle/>
          <a:p>
            <a:pPr>
              <a:defRPr sz="755" b="1" i="0" u="none" strike="noStrike" baseline="0">
                <a:solidFill>
                  <a:srgbClr val="000000"/>
                </a:solidFill>
                <a:latin typeface="Arial"/>
                <a:ea typeface="Arial"/>
                <a:cs typeface="Arial"/>
              </a:defRPr>
            </a:pPr>
            <a:endParaRPr lang="de-DE"/>
          </a:p>
        </c:txPr>
      </c:legendEntry>
      <c:legendEntry>
        <c:idx val="11"/>
        <c:delete val="1"/>
      </c:legendEntry>
      <c:legendEntry>
        <c:idx val="12"/>
        <c:txPr>
          <a:bodyPr/>
          <a:lstStyle/>
          <a:p>
            <a:pPr>
              <a:defRPr sz="755" b="0" i="0" u="none" strike="noStrike" baseline="0">
                <a:solidFill>
                  <a:srgbClr val="000000"/>
                </a:solidFill>
                <a:latin typeface="Arial"/>
                <a:ea typeface="Arial"/>
                <a:cs typeface="Arial"/>
              </a:defRPr>
            </a:pPr>
            <a:endParaRPr lang="de-DE"/>
          </a:p>
        </c:txPr>
      </c:legendEntry>
      <c:legendEntry>
        <c:idx val="13"/>
        <c:txPr>
          <a:bodyPr/>
          <a:lstStyle/>
          <a:p>
            <a:pPr>
              <a:defRPr sz="755" b="0" i="0" u="none" strike="noStrike" baseline="0">
                <a:solidFill>
                  <a:srgbClr val="000000"/>
                </a:solidFill>
                <a:latin typeface="Arial"/>
                <a:ea typeface="Arial"/>
                <a:cs typeface="Arial"/>
              </a:defRPr>
            </a:pPr>
            <a:endParaRPr lang="de-DE"/>
          </a:p>
        </c:txPr>
      </c:legendEntry>
      <c:layout>
        <c:manualLayout>
          <c:xMode val="edge"/>
          <c:yMode val="edge"/>
          <c:x val="0.67452907867901346"/>
          <c:y val="1.466275659824047E-2"/>
          <c:w val="0.31367960651856219"/>
          <c:h val="0.9765395894428152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DE"/>
              <a:t>GHG emissions</a:t>
            </a:r>
          </a:p>
        </c:rich>
      </c:tx>
      <c:overlay val="0"/>
      <c:spPr>
        <a:noFill/>
        <a:ln w="25400">
          <a:noFill/>
        </a:ln>
      </c:spPr>
    </c:title>
    <c:autoTitleDeleted val="0"/>
    <c:plotArea>
      <c:layout/>
      <c:barChart>
        <c:barDir val="col"/>
        <c:grouping val="clustered"/>
        <c:varyColors val="0"/>
        <c:ser>
          <c:idx val="0"/>
          <c:order val="0"/>
          <c:spPr>
            <a:solidFill>
              <a:srgbClr val="FFCC99"/>
            </a:solidFill>
            <a:ln w="12700">
              <a:solidFill>
                <a:srgbClr val="000000"/>
              </a:solidFill>
              <a:prstDash val="solid"/>
            </a:ln>
          </c:spPr>
          <c:invertIfNegative val="0"/>
          <c:val>
            <c:numRef>
              <c:f>'Results costs all'!#REF!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'Results costs all'!#REF!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'Results costs all'!#REF!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CE0-4A13-A41C-E982F0234A52}"/>
            </c:ext>
          </c:extLst>
        </c:ser>
        <c:ser>
          <c:idx val="1"/>
          <c:order val="1"/>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val>
            <c:numRef>
              <c:f>'Results costs all'!#REF!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'Results costs all'!#REF!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'Results costs all'!#REF!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CE0-4A13-A41C-E982F0234A52}"/>
            </c:ext>
          </c:extLst>
        </c:ser>
        <c:ser>
          <c:idx val="2"/>
          <c:order val="2"/>
          <c:spPr>
            <a:solidFill>
              <a:srgbClr val="0000FF"/>
            </a:solidFill>
            <a:ln w="12700">
              <a:solidFill>
                <a:srgbClr val="000000"/>
              </a:solidFill>
              <a:prstDash val="solid"/>
            </a:ln>
          </c:spPr>
          <c:invertIfNegative val="0"/>
          <c:val>
            <c:numRef>
              <c:f>'Results costs all'!#REF!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'Results costs all'!#REF!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'Results costs all'!#REF!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CE0-4A13-A41C-E982F0234A52}"/>
            </c:ext>
          </c:extLst>
        </c:ser>
        <c:dLbls>
          <c:showLegendKey val="0"/>
          <c:showVal val="0"/>
          <c:showCatName val="0"/>
          <c:showSerName val="0"/>
          <c:showPercent val="0"/>
          <c:showBubbleSize val="0"/>
        </c:dLbls>
        <c:gapWidth val="100"/>
        <c:axId val="562808440"/>
        <c:axId val="1"/>
      </c:barChart>
      <c:catAx>
        <c:axId val="5628084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75" b="1" i="0" u="none" strike="noStrike" baseline="0">
                    <a:solidFill>
                      <a:srgbClr val="000000"/>
                    </a:solidFill>
                    <a:latin typeface="Arial"/>
                    <a:ea typeface="Arial"/>
                    <a:cs typeface="Arial"/>
                  </a:defRPr>
                </a:pPr>
                <a:r>
                  <a:rPr lang="de-DE"/>
                  <a:t>tonne CO2-eq/yr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08440"/>
        <c:crosses val="autoZero"/>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disposal</a:t>
            </a:r>
          </a:p>
        </c:rich>
      </c:tx>
      <c:layout>
        <c:manualLayout>
          <c:xMode val="edge"/>
          <c:yMode val="edge"/>
          <c:x val="0.28634392030036859"/>
          <c:y val="1.3927576601671309E-2"/>
        </c:manualLayout>
      </c:layout>
      <c:overlay val="0"/>
      <c:spPr>
        <a:noFill/>
        <a:ln w="25400">
          <a:noFill/>
        </a:ln>
      </c:spPr>
    </c:title>
    <c:autoTitleDeleted val="0"/>
    <c:plotArea>
      <c:layout>
        <c:manualLayout>
          <c:layoutTarget val="inner"/>
          <c:xMode val="edge"/>
          <c:yMode val="edge"/>
          <c:x val="0.2136566174548904"/>
          <c:y val="0.10863509749303621"/>
          <c:w val="0.50440582883680307"/>
          <c:h val="0.77158774373259054"/>
        </c:manualLayout>
      </c:layout>
      <c:barChart>
        <c:barDir val="col"/>
        <c:grouping val="stacked"/>
        <c:varyColors val="0"/>
        <c:ser>
          <c:idx val="0"/>
          <c:order val="0"/>
          <c:tx>
            <c:strRef>
              <c:f>'LCA SQ'!$K$63</c:f>
              <c:strCache>
                <c:ptCount val="1"/>
                <c:pt idx="0">
                  <c:v>Scattered</c:v>
                </c:pt>
              </c:strCache>
            </c:strRef>
          </c:tx>
          <c:spPr>
            <a:solidFill>
              <a:srgbClr val="FFFFFF"/>
            </a:solidFill>
            <a:ln w="12700">
              <a:solidFill>
                <a:srgbClr val="000000"/>
              </a:solidFill>
              <a:prstDash val="solid"/>
            </a:ln>
          </c:spPr>
          <c:invertIfNegative val="0"/>
          <c:cat>
            <c:strRef>
              <c:f>'LCA SQ'!$L$62:$M$62</c:f>
              <c:strCache>
                <c:ptCount val="2"/>
                <c:pt idx="0">
                  <c:v>Disposed of waste</c:v>
                </c:pt>
                <c:pt idx="1">
                  <c:v>Net</c:v>
                </c:pt>
              </c:strCache>
            </c:strRef>
          </c:cat>
          <c:val>
            <c:numRef>
              <c:f>'LCA SQ'!$L$63:$M$63</c:f>
              <c:numCache>
                <c:formatCode>General</c:formatCode>
                <c:ptCount val="2"/>
                <c:pt idx="0" formatCode="#,##0">
                  <c:v>0</c:v>
                </c:pt>
              </c:numCache>
            </c:numRef>
          </c:val>
          <c:extLst>
            <c:ext xmlns:c16="http://schemas.microsoft.com/office/drawing/2014/chart" uri="{C3380CC4-5D6E-409C-BE32-E72D297353CC}">
              <c16:uniqueId val="{00000000-5B23-46A4-B380-0C885B570D8F}"/>
            </c:ext>
          </c:extLst>
        </c:ser>
        <c:ser>
          <c:idx val="1"/>
          <c:order val="1"/>
          <c:tx>
            <c:strRef>
              <c:f>'LCA SQ'!$K$64</c:f>
              <c:strCache>
                <c:ptCount val="1"/>
                <c:pt idx="0">
                  <c:v>Burned-open</c:v>
                </c:pt>
              </c:strCache>
            </c:strRef>
          </c:tx>
          <c:spPr>
            <a:solidFill>
              <a:srgbClr val="FF8080"/>
            </a:solidFill>
            <a:ln w="12700">
              <a:solidFill>
                <a:srgbClr val="000000"/>
              </a:solidFill>
              <a:prstDash val="solid"/>
            </a:ln>
          </c:spPr>
          <c:invertIfNegative val="0"/>
          <c:cat>
            <c:strRef>
              <c:f>'LCA SQ'!$L$62:$M$62</c:f>
              <c:strCache>
                <c:ptCount val="2"/>
                <c:pt idx="0">
                  <c:v>Disposed of waste</c:v>
                </c:pt>
                <c:pt idx="1">
                  <c:v>Net</c:v>
                </c:pt>
              </c:strCache>
            </c:strRef>
          </c:cat>
          <c:val>
            <c:numRef>
              <c:f>'LCA SQ'!$L$64:$M$64</c:f>
              <c:numCache>
                <c:formatCode>General</c:formatCode>
                <c:ptCount val="2"/>
                <c:pt idx="0" formatCode="#,##0">
                  <c:v>0</c:v>
                </c:pt>
              </c:numCache>
            </c:numRef>
          </c:val>
          <c:extLst>
            <c:ext xmlns:c16="http://schemas.microsoft.com/office/drawing/2014/chart" uri="{C3380CC4-5D6E-409C-BE32-E72D297353CC}">
              <c16:uniqueId val="{00000001-5B23-46A4-B380-0C885B570D8F}"/>
            </c:ext>
          </c:extLst>
        </c:ser>
        <c:ser>
          <c:idx val="2"/>
          <c:order val="2"/>
          <c:tx>
            <c:strRef>
              <c:f>'LCA SQ'!$K$65</c:f>
              <c:strCache>
                <c:ptCount val="1"/>
                <c:pt idx="0">
                  <c:v>Wild dump</c:v>
                </c:pt>
              </c:strCache>
            </c:strRef>
          </c:tx>
          <c:spPr>
            <a:solidFill>
              <a:srgbClr val="993300"/>
            </a:solidFill>
            <a:ln w="12700">
              <a:solidFill>
                <a:srgbClr val="000000"/>
              </a:solidFill>
              <a:prstDash val="solid"/>
            </a:ln>
          </c:spPr>
          <c:invertIfNegative val="0"/>
          <c:cat>
            <c:strRef>
              <c:f>'LCA SQ'!$L$62:$M$62</c:f>
              <c:strCache>
                <c:ptCount val="2"/>
                <c:pt idx="0">
                  <c:v>Disposed of waste</c:v>
                </c:pt>
                <c:pt idx="1">
                  <c:v>Net</c:v>
                </c:pt>
              </c:strCache>
            </c:strRef>
          </c:cat>
          <c:val>
            <c:numRef>
              <c:f>'LCA SQ'!$L$65:$M$65</c:f>
              <c:numCache>
                <c:formatCode>General</c:formatCode>
                <c:ptCount val="2"/>
                <c:pt idx="0" formatCode="#,##0">
                  <c:v>0</c:v>
                </c:pt>
              </c:numCache>
            </c:numRef>
          </c:val>
          <c:extLst>
            <c:ext xmlns:c16="http://schemas.microsoft.com/office/drawing/2014/chart" uri="{C3380CC4-5D6E-409C-BE32-E72D297353CC}">
              <c16:uniqueId val="{00000002-5B23-46A4-B380-0C885B570D8F}"/>
            </c:ext>
          </c:extLst>
        </c:ser>
        <c:ser>
          <c:idx val="3"/>
          <c:order val="3"/>
          <c:tx>
            <c:strRef>
              <c:f>'LCA SQ'!$K$66</c:f>
              <c:strCache>
                <c:ptCount val="1"/>
                <c:pt idx="0">
                  <c:v>Controlled landfill</c:v>
                </c:pt>
              </c:strCache>
            </c:strRef>
          </c:tx>
          <c:spPr>
            <a:solidFill>
              <a:srgbClr val="99CC00"/>
            </a:solidFill>
            <a:ln w="12700">
              <a:solidFill>
                <a:srgbClr val="000000"/>
              </a:solidFill>
              <a:prstDash val="solid"/>
            </a:ln>
          </c:spPr>
          <c:invertIfNegative val="0"/>
          <c:cat>
            <c:strRef>
              <c:f>'LCA SQ'!$L$62:$M$62</c:f>
              <c:strCache>
                <c:ptCount val="2"/>
                <c:pt idx="0">
                  <c:v>Disposed of waste</c:v>
                </c:pt>
                <c:pt idx="1">
                  <c:v>Net</c:v>
                </c:pt>
              </c:strCache>
            </c:strRef>
          </c:cat>
          <c:val>
            <c:numRef>
              <c:f>'LCA SQ'!$L$66:$M$66</c:f>
              <c:numCache>
                <c:formatCode>General</c:formatCode>
                <c:ptCount val="2"/>
                <c:pt idx="0" formatCode="#,##0">
                  <c:v>0</c:v>
                </c:pt>
              </c:numCache>
            </c:numRef>
          </c:val>
          <c:extLst>
            <c:ext xmlns:c16="http://schemas.microsoft.com/office/drawing/2014/chart" uri="{C3380CC4-5D6E-409C-BE32-E72D297353CC}">
              <c16:uniqueId val="{00000003-5B23-46A4-B380-0C885B570D8F}"/>
            </c:ext>
          </c:extLst>
        </c:ser>
        <c:ser>
          <c:idx val="4"/>
          <c:order val="4"/>
          <c:tx>
            <c:strRef>
              <c:f>'LCA SQ'!$K$67</c:f>
              <c:strCache>
                <c:ptCount val="1"/>
                <c:pt idx="0">
                  <c:v>Sanitary landfill</c:v>
                </c:pt>
              </c:strCache>
            </c:strRef>
          </c:tx>
          <c:spPr>
            <a:solidFill>
              <a:srgbClr val="FFFF00"/>
            </a:solidFill>
            <a:ln w="12700">
              <a:solidFill>
                <a:srgbClr val="000000"/>
              </a:solidFill>
              <a:prstDash val="solid"/>
            </a:ln>
          </c:spPr>
          <c:invertIfNegative val="0"/>
          <c:cat>
            <c:strRef>
              <c:f>'LCA SQ'!$L$62:$M$62</c:f>
              <c:strCache>
                <c:ptCount val="2"/>
                <c:pt idx="0">
                  <c:v>Disposed of waste</c:v>
                </c:pt>
                <c:pt idx="1">
                  <c:v>Net</c:v>
                </c:pt>
              </c:strCache>
            </c:strRef>
          </c:cat>
          <c:val>
            <c:numRef>
              <c:f>'LCA SQ'!$L$67:$M$67</c:f>
              <c:numCache>
                <c:formatCode>General</c:formatCode>
                <c:ptCount val="2"/>
                <c:pt idx="0" formatCode="#,##0">
                  <c:v>0</c:v>
                </c:pt>
              </c:numCache>
            </c:numRef>
          </c:val>
          <c:extLst>
            <c:ext xmlns:c16="http://schemas.microsoft.com/office/drawing/2014/chart" uri="{C3380CC4-5D6E-409C-BE32-E72D297353CC}">
              <c16:uniqueId val="{00000004-5B23-46A4-B380-0C885B570D8F}"/>
            </c:ext>
          </c:extLst>
        </c:ser>
        <c:ser>
          <c:idx val="5"/>
          <c:order val="5"/>
          <c:tx>
            <c:strRef>
              <c:f>'LCA SQ'!$K$68</c:f>
              <c:strCache>
                <c:ptCount val="1"/>
                <c:pt idx="0">
                  <c:v>BS/landfill</c:v>
                </c:pt>
              </c:strCache>
            </c:strRef>
          </c:tx>
          <c:spPr>
            <a:solidFill>
              <a:srgbClr val="FF00FF"/>
            </a:solidFill>
            <a:ln w="12700">
              <a:solidFill>
                <a:srgbClr val="000000"/>
              </a:solidFill>
              <a:prstDash val="solid"/>
            </a:ln>
          </c:spPr>
          <c:invertIfNegative val="0"/>
          <c:cat>
            <c:strRef>
              <c:f>'LCA SQ'!$L$62:$M$62</c:f>
              <c:strCache>
                <c:ptCount val="2"/>
                <c:pt idx="0">
                  <c:v>Disposed of waste</c:v>
                </c:pt>
                <c:pt idx="1">
                  <c:v>Net</c:v>
                </c:pt>
              </c:strCache>
            </c:strRef>
          </c:cat>
          <c:val>
            <c:numRef>
              <c:f>'LCA SQ'!$L$68:$M$68</c:f>
              <c:numCache>
                <c:formatCode>General</c:formatCode>
                <c:ptCount val="2"/>
                <c:pt idx="0" formatCode="#,##0">
                  <c:v>0</c:v>
                </c:pt>
              </c:numCache>
            </c:numRef>
          </c:val>
          <c:extLst>
            <c:ext xmlns:c16="http://schemas.microsoft.com/office/drawing/2014/chart" uri="{C3380CC4-5D6E-409C-BE32-E72D297353CC}">
              <c16:uniqueId val="{00000005-5B23-46A4-B380-0C885B570D8F}"/>
            </c:ext>
          </c:extLst>
        </c:ser>
        <c:ser>
          <c:idx val="6"/>
          <c:order val="6"/>
          <c:tx>
            <c:strRef>
              <c:f>'LCA SQ'!$K$69</c:f>
              <c:strCache>
                <c:ptCount val="1"/>
                <c:pt idx="0">
                  <c:v>MBTaerobic/treatm</c:v>
                </c:pt>
              </c:strCache>
            </c:strRef>
          </c:tx>
          <c:spPr>
            <a:solidFill>
              <a:srgbClr val="008080"/>
            </a:solidFill>
            <a:ln w="12700">
              <a:solidFill>
                <a:srgbClr val="000000"/>
              </a:solidFill>
              <a:prstDash val="solid"/>
            </a:ln>
          </c:spPr>
          <c:invertIfNegative val="0"/>
          <c:cat>
            <c:strRef>
              <c:f>'LCA SQ'!$L$62:$M$62</c:f>
              <c:strCache>
                <c:ptCount val="2"/>
                <c:pt idx="0">
                  <c:v>Disposed of waste</c:v>
                </c:pt>
                <c:pt idx="1">
                  <c:v>Net</c:v>
                </c:pt>
              </c:strCache>
            </c:strRef>
          </c:cat>
          <c:val>
            <c:numRef>
              <c:f>'LCA SQ'!$L$69:$M$69</c:f>
              <c:numCache>
                <c:formatCode>General</c:formatCode>
                <c:ptCount val="2"/>
                <c:pt idx="0" formatCode="#,##0">
                  <c:v>0</c:v>
                </c:pt>
              </c:numCache>
            </c:numRef>
          </c:val>
          <c:extLst>
            <c:ext xmlns:c16="http://schemas.microsoft.com/office/drawing/2014/chart" uri="{C3380CC4-5D6E-409C-BE32-E72D297353CC}">
              <c16:uniqueId val="{00000006-5B23-46A4-B380-0C885B570D8F}"/>
            </c:ext>
          </c:extLst>
        </c:ser>
        <c:ser>
          <c:idx val="7"/>
          <c:order val="7"/>
          <c:tx>
            <c:strRef>
              <c:f>'LCA SQ'!$K$70</c:f>
              <c:strCache>
                <c:ptCount val="1"/>
                <c:pt idx="0">
                  <c:v>MBTanaerobic/treatm</c:v>
                </c:pt>
              </c:strCache>
            </c:strRef>
          </c:tx>
          <c:spPr>
            <a:solidFill>
              <a:srgbClr val="00CCFF"/>
            </a:solidFill>
            <a:ln w="12700">
              <a:solidFill>
                <a:srgbClr val="000000"/>
              </a:solidFill>
              <a:prstDash val="solid"/>
            </a:ln>
          </c:spPr>
          <c:invertIfNegative val="0"/>
          <c:cat>
            <c:strRef>
              <c:f>'LCA SQ'!$L$62:$M$62</c:f>
              <c:strCache>
                <c:ptCount val="2"/>
                <c:pt idx="0">
                  <c:v>Disposed of waste</c:v>
                </c:pt>
                <c:pt idx="1">
                  <c:v>Net</c:v>
                </c:pt>
              </c:strCache>
            </c:strRef>
          </c:cat>
          <c:val>
            <c:numRef>
              <c:f>'LCA SQ'!$L$70:$M$70</c:f>
              <c:numCache>
                <c:formatCode>General</c:formatCode>
                <c:ptCount val="2"/>
                <c:pt idx="0" formatCode="#,##0">
                  <c:v>0</c:v>
                </c:pt>
              </c:numCache>
            </c:numRef>
          </c:val>
          <c:extLst>
            <c:ext xmlns:c16="http://schemas.microsoft.com/office/drawing/2014/chart" uri="{C3380CC4-5D6E-409C-BE32-E72D297353CC}">
              <c16:uniqueId val="{00000007-5B23-46A4-B380-0C885B570D8F}"/>
            </c:ext>
          </c:extLst>
        </c:ser>
        <c:ser>
          <c:idx val="8"/>
          <c:order val="8"/>
          <c:tx>
            <c:strRef>
              <c:f>'LCA SQ'!$K$71</c:f>
              <c:strCache>
                <c:ptCount val="1"/>
                <c:pt idx="0">
                  <c:v>MBS/treatm</c:v>
                </c:pt>
              </c:strCache>
            </c:strRef>
          </c:tx>
          <c:spPr>
            <a:solidFill>
              <a:srgbClr val="FF9900"/>
            </a:solidFill>
            <a:ln w="12700">
              <a:solidFill>
                <a:srgbClr val="000000"/>
              </a:solidFill>
              <a:prstDash val="solid"/>
            </a:ln>
          </c:spPr>
          <c:invertIfNegative val="0"/>
          <c:cat>
            <c:strRef>
              <c:f>'LCA SQ'!$L$62:$M$62</c:f>
              <c:strCache>
                <c:ptCount val="2"/>
                <c:pt idx="0">
                  <c:v>Disposed of waste</c:v>
                </c:pt>
                <c:pt idx="1">
                  <c:v>Net</c:v>
                </c:pt>
              </c:strCache>
            </c:strRef>
          </c:cat>
          <c:val>
            <c:numRef>
              <c:f>'LCA SQ'!$L$71:$M$71</c:f>
              <c:numCache>
                <c:formatCode>General</c:formatCode>
                <c:ptCount val="2"/>
                <c:pt idx="0" formatCode="#,##0">
                  <c:v>0</c:v>
                </c:pt>
              </c:numCache>
            </c:numRef>
          </c:val>
          <c:extLst>
            <c:ext xmlns:c16="http://schemas.microsoft.com/office/drawing/2014/chart" uri="{C3380CC4-5D6E-409C-BE32-E72D297353CC}">
              <c16:uniqueId val="{00000008-5B23-46A4-B380-0C885B570D8F}"/>
            </c:ext>
          </c:extLst>
        </c:ser>
        <c:ser>
          <c:idx val="9"/>
          <c:order val="9"/>
          <c:tx>
            <c:strRef>
              <c:f>'LCA SQ'!$K$72</c:f>
              <c:strCache>
                <c:ptCount val="1"/>
                <c:pt idx="0">
                  <c:v>Incineration</c:v>
                </c:pt>
              </c:strCache>
            </c:strRef>
          </c:tx>
          <c:spPr>
            <a:solidFill>
              <a:srgbClr val="CCCCFF"/>
            </a:solidFill>
            <a:ln w="12700">
              <a:solidFill>
                <a:srgbClr val="000000"/>
              </a:solidFill>
            </a:ln>
          </c:spPr>
          <c:invertIfNegative val="0"/>
          <c:cat>
            <c:strRef>
              <c:f>'LCA SQ'!$L$62:$M$62</c:f>
              <c:strCache>
                <c:ptCount val="2"/>
                <c:pt idx="0">
                  <c:v>Disposed of waste</c:v>
                </c:pt>
                <c:pt idx="1">
                  <c:v>Net</c:v>
                </c:pt>
              </c:strCache>
            </c:strRef>
          </c:cat>
          <c:val>
            <c:numRef>
              <c:f>'LCA SQ'!$L$72:$M$72</c:f>
              <c:numCache>
                <c:formatCode>General</c:formatCode>
                <c:ptCount val="2"/>
                <c:pt idx="0" formatCode="#,##0">
                  <c:v>0</c:v>
                </c:pt>
              </c:numCache>
            </c:numRef>
          </c:val>
          <c:extLst>
            <c:ext xmlns:c16="http://schemas.microsoft.com/office/drawing/2014/chart" uri="{C3380CC4-5D6E-409C-BE32-E72D297353CC}">
              <c16:uniqueId val="{00000009-5B23-46A4-B380-0C885B570D8F}"/>
            </c:ext>
          </c:extLst>
        </c:ser>
        <c:ser>
          <c:idx val="10"/>
          <c:order val="10"/>
          <c:tx>
            <c:strRef>
              <c:f>'LCA SQ'!$K$73</c:f>
              <c:strCache>
                <c:ptCount val="1"/>
                <c:pt idx="0">
                  <c:v>Debits</c:v>
                </c:pt>
              </c:strCache>
            </c:strRef>
          </c:tx>
          <c:spPr>
            <a:noFill/>
            <a:ln w="12700">
              <a:noFill/>
              <a:prstDash val="solid"/>
            </a:ln>
          </c:spPr>
          <c:invertIfNegative val="0"/>
          <c:cat>
            <c:strRef>
              <c:f>'LCA SQ'!$L$62:$M$62</c:f>
              <c:strCache>
                <c:ptCount val="2"/>
                <c:pt idx="0">
                  <c:v>Disposed of waste</c:v>
                </c:pt>
                <c:pt idx="1">
                  <c:v>Net</c:v>
                </c:pt>
              </c:strCache>
            </c:strRef>
          </c:cat>
          <c:val>
            <c:numRef>
              <c:f>'LCA SQ'!$L$73:$M$73</c:f>
              <c:numCache>
                <c:formatCode>General</c:formatCode>
                <c:ptCount val="2"/>
              </c:numCache>
            </c:numRef>
          </c:val>
          <c:extLst>
            <c:ext xmlns:c16="http://schemas.microsoft.com/office/drawing/2014/chart" uri="{C3380CC4-5D6E-409C-BE32-E72D297353CC}">
              <c16:uniqueId val="{0000000A-5B23-46A4-B380-0C885B570D8F}"/>
            </c:ext>
          </c:extLst>
        </c:ser>
        <c:ser>
          <c:idx val="11"/>
          <c:order val="11"/>
          <c:tx>
            <c:strRef>
              <c:f>'LCA SQ'!$K$74</c:f>
              <c:strCache>
                <c:ptCount val="1"/>
                <c:pt idx="0">
                  <c:v>Scattered</c:v>
                </c:pt>
              </c:strCache>
            </c:strRef>
          </c:tx>
          <c:spPr>
            <a:pattFill prst="wdUpDi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SQ'!$L$74:$M$74</c:f>
              <c:numCache>
                <c:formatCode>General</c:formatCode>
                <c:ptCount val="2"/>
                <c:pt idx="0" formatCode="#,##0">
                  <c:v>0</c:v>
                </c:pt>
              </c:numCache>
            </c:numRef>
          </c:val>
          <c:extLst>
            <c:ext xmlns:c16="http://schemas.microsoft.com/office/drawing/2014/chart" uri="{C3380CC4-5D6E-409C-BE32-E72D297353CC}">
              <c16:uniqueId val="{0000000B-5B23-46A4-B380-0C885B570D8F}"/>
            </c:ext>
          </c:extLst>
        </c:ser>
        <c:ser>
          <c:idx val="12"/>
          <c:order val="12"/>
          <c:tx>
            <c:strRef>
              <c:f>'LCA SQ'!$K$75</c:f>
              <c:strCache>
                <c:ptCount val="1"/>
                <c:pt idx="0">
                  <c:v>Burned-open</c:v>
                </c:pt>
              </c:strCache>
            </c:strRef>
          </c:tx>
          <c:spPr>
            <a:pattFill prst="wdDnDiag">
              <a:fgClr>
                <a:srgbClr val="FF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SQ'!$L$75:$M$75</c:f>
              <c:numCache>
                <c:formatCode>General</c:formatCode>
                <c:ptCount val="2"/>
                <c:pt idx="0" formatCode="#,##0">
                  <c:v>0</c:v>
                </c:pt>
              </c:numCache>
            </c:numRef>
          </c:val>
          <c:extLst>
            <c:ext xmlns:c16="http://schemas.microsoft.com/office/drawing/2014/chart" uri="{C3380CC4-5D6E-409C-BE32-E72D297353CC}">
              <c16:uniqueId val="{0000000C-5B23-46A4-B380-0C885B570D8F}"/>
            </c:ext>
          </c:extLst>
        </c:ser>
        <c:ser>
          <c:idx val="13"/>
          <c:order val="13"/>
          <c:tx>
            <c:strRef>
              <c:f>'LCA SQ'!$K$76</c:f>
              <c:strCache>
                <c:ptCount val="1"/>
                <c:pt idx="0">
                  <c:v>Wild dump</c:v>
                </c:pt>
              </c:strCache>
            </c:strRef>
          </c:tx>
          <c:spPr>
            <a:pattFill prst="wdUpDiag">
              <a:fgClr>
                <a:srgbClr val="9933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SQ'!$L$76:$M$76</c:f>
              <c:numCache>
                <c:formatCode>General</c:formatCode>
                <c:ptCount val="2"/>
                <c:pt idx="0" formatCode="#,##0">
                  <c:v>0</c:v>
                </c:pt>
              </c:numCache>
            </c:numRef>
          </c:val>
          <c:extLst>
            <c:ext xmlns:c16="http://schemas.microsoft.com/office/drawing/2014/chart" uri="{C3380CC4-5D6E-409C-BE32-E72D297353CC}">
              <c16:uniqueId val="{0000000D-5B23-46A4-B380-0C885B570D8F}"/>
            </c:ext>
          </c:extLst>
        </c:ser>
        <c:ser>
          <c:idx val="14"/>
          <c:order val="14"/>
          <c:tx>
            <c:strRef>
              <c:f>'LCA SQ'!$K$77</c:f>
              <c:strCache>
                <c:ptCount val="1"/>
                <c:pt idx="0">
                  <c:v>Controlled landfill</c:v>
                </c:pt>
              </c:strCache>
            </c:strRef>
          </c:tx>
          <c:spPr>
            <a:pattFill prst="wdDnDiag">
              <a:fgClr>
                <a:srgbClr val="99CC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SQ'!$L$77:$M$77</c:f>
              <c:numCache>
                <c:formatCode>General</c:formatCode>
                <c:ptCount val="2"/>
                <c:pt idx="0" formatCode="#,##0">
                  <c:v>0</c:v>
                </c:pt>
              </c:numCache>
            </c:numRef>
          </c:val>
          <c:extLst>
            <c:ext xmlns:c16="http://schemas.microsoft.com/office/drawing/2014/chart" uri="{C3380CC4-5D6E-409C-BE32-E72D297353CC}">
              <c16:uniqueId val="{0000000E-5B23-46A4-B380-0C885B570D8F}"/>
            </c:ext>
          </c:extLst>
        </c:ser>
        <c:ser>
          <c:idx val="15"/>
          <c:order val="15"/>
          <c:tx>
            <c:strRef>
              <c:f>'LCA SQ'!$K$78</c:f>
              <c:strCache>
                <c:ptCount val="1"/>
                <c:pt idx="0">
                  <c:v>Sanitary landfill</c:v>
                </c:pt>
              </c:strCache>
            </c:strRef>
          </c:tx>
          <c:spPr>
            <a:pattFill prst="wdUpDiag">
              <a:fgClr>
                <a:srgbClr val="FFFF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SQ'!$L$78:$M$78</c:f>
              <c:numCache>
                <c:formatCode>General</c:formatCode>
                <c:ptCount val="2"/>
                <c:pt idx="0" formatCode="#,##0">
                  <c:v>0</c:v>
                </c:pt>
              </c:numCache>
            </c:numRef>
          </c:val>
          <c:extLst>
            <c:ext xmlns:c16="http://schemas.microsoft.com/office/drawing/2014/chart" uri="{C3380CC4-5D6E-409C-BE32-E72D297353CC}">
              <c16:uniqueId val="{0000000F-5B23-46A4-B380-0C885B570D8F}"/>
            </c:ext>
          </c:extLst>
        </c:ser>
        <c:ser>
          <c:idx val="16"/>
          <c:order val="16"/>
          <c:tx>
            <c:strRef>
              <c:f>'LCA SQ'!$K$79</c:f>
              <c:strCache>
                <c:ptCount val="1"/>
                <c:pt idx="0">
                  <c:v>BS/landfill</c:v>
                </c:pt>
              </c:strCache>
            </c:strRef>
          </c:tx>
          <c:spPr>
            <a:pattFill prst="wdDnDiag">
              <a:fgClr>
                <a:srgbClr val="FF00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SQ'!$L$79:$M$79</c:f>
              <c:numCache>
                <c:formatCode>General</c:formatCode>
                <c:ptCount val="2"/>
                <c:pt idx="0" formatCode="#,##0">
                  <c:v>0</c:v>
                </c:pt>
              </c:numCache>
            </c:numRef>
          </c:val>
          <c:extLst>
            <c:ext xmlns:c16="http://schemas.microsoft.com/office/drawing/2014/chart" uri="{C3380CC4-5D6E-409C-BE32-E72D297353CC}">
              <c16:uniqueId val="{00000010-5B23-46A4-B380-0C885B570D8F}"/>
            </c:ext>
          </c:extLst>
        </c:ser>
        <c:ser>
          <c:idx val="17"/>
          <c:order val="17"/>
          <c:tx>
            <c:strRef>
              <c:f>'LCA SQ'!$K$80</c:f>
              <c:strCache>
                <c:ptCount val="1"/>
                <c:pt idx="0">
                  <c:v>MBTaerobic/treatm</c:v>
                </c:pt>
              </c:strCache>
            </c:strRef>
          </c:tx>
          <c:spPr>
            <a:pattFill prst="wdUpDiag">
              <a:fgClr>
                <a:srgbClr val="00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SQ'!$L$80:$M$80</c:f>
              <c:numCache>
                <c:formatCode>General</c:formatCode>
                <c:ptCount val="2"/>
                <c:pt idx="0" formatCode="#,##0">
                  <c:v>0</c:v>
                </c:pt>
              </c:numCache>
            </c:numRef>
          </c:val>
          <c:extLst>
            <c:ext xmlns:c16="http://schemas.microsoft.com/office/drawing/2014/chart" uri="{C3380CC4-5D6E-409C-BE32-E72D297353CC}">
              <c16:uniqueId val="{00000011-5B23-46A4-B380-0C885B570D8F}"/>
            </c:ext>
          </c:extLst>
        </c:ser>
        <c:ser>
          <c:idx val="18"/>
          <c:order val="18"/>
          <c:tx>
            <c:strRef>
              <c:f>'LCA SQ'!$K$81</c:f>
              <c:strCache>
                <c:ptCount val="1"/>
                <c:pt idx="0">
                  <c:v>MBTanaerobic/treatm</c:v>
                </c:pt>
              </c:strCache>
            </c:strRef>
          </c:tx>
          <c:spPr>
            <a:pattFill prst="wdDnDiag">
              <a:fgClr>
                <a:srgbClr val="0099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SQ'!$L$62:$M$62</c:f>
              <c:strCache>
                <c:ptCount val="2"/>
                <c:pt idx="0">
                  <c:v>Disposed of waste</c:v>
                </c:pt>
                <c:pt idx="1">
                  <c:v>Net</c:v>
                </c:pt>
              </c:strCache>
            </c:strRef>
          </c:cat>
          <c:val>
            <c:numRef>
              <c:f>'LCA SQ'!$L$81:$M$81</c:f>
              <c:numCache>
                <c:formatCode>General</c:formatCode>
                <c:ptCount val="2"/>
                <c:pt idx="0" formatCode="#,##0">
                  <c:v>0</c:v>
                </c:pt>
              </c:numCache>
            </c:numRef>
          </c:val>
          <c:extLst>
            <c:ext xmlns:c16="http://schemas.microsoft.com/office/drawing/2014/chart" uri="{C3380CC4-5D6E-409C-BE32-E72D297353CC}">
              <c16:uniqueId val="{00000012-5B23-46A4-B380-0C885B570D8F}"/>
            </c:ext>
          </c:extLst>
        </c:ser>
        <c:ser>
          <c:idx val="19"/>
          <c:order val="19"/>
          <c:tx>
            <c:strRef>
              <c:f>'LCA SQ'!$K$82</c:f>
              <c:strCache>
                <c:ptCount val="1"/>
                <c:pt idx="0">
                  <c:v>MBS/treatm</c:v>
                </c:pt>
              </c:strCache>
            </c:strRef>
          </c:tx>
          <c:spPr>
            <a:pattFill prst="wdUpDiag">
              <a:fgClr>
                <a:srgbClr val="FF9900"/>
              </a:fgClr>
              <a:bgClr>
                <a:schemeClr val="bg1"/>
              </a:bgClr>
            </a:pattFill>
            <a:ln w="12700">
              <a:solidFill>
                <a:srgbClr val="000000"/>
              </a:solidFill>
            </a:ln>
          </c:spPr>
          <c:invertIfNegative val="0"/>
          <c:cat>
            <c:strRef>
              <c:f>'LCA SQ'!$L$62:$M$62</c:f>
              <c:strCache>
                <c:ptCount val="2"/>
                <c:pt idx="0">
                  <c:v>Disposed of waste</c:v>
                </c:pt>
                <c:pt idx="1">
                  <c:v>Net</c:v>
                </c:pt>
              </c:strCache>
            </c:strRef>
          </c:cat>
          <c:val>
            <c:numRef>
              <c:f>'LCA SQ'!$L$82:$M$82</c:f>
              <c:numCache>
                <c:formatCode>General</c:formatCode>
                <c:ptCount val="2"/>
                <c:pt idx="0" formatCode="#,##0">
                  <c:v>0</c:v>
                </c:pt>
              </c:numCache>
            </c:numRef>
          </c:val>
          <c:extLst>
            <c:ext xmlns:c16="http://schemas.microsoft.com/office/drawing/2014/chart" uri="{C3380CC4-5D6E-409C-BE32-E72D297353CC}">
              <c16:uniqueId val="{00000013-5B23-46A4-B380-0C885B570D8F}"/>
            </c:ext>
          </c:extLst>
        </c:ser>
        <c:ser>
          <c:idx val="20"/>
          <c:order val="20"/>
          <c:tx>
            <c:strRef>
              <c:f>'LCA SQ'!$K$83</c:f>
              <c:strCache>
                <c:ptCount val="1"/>
                <c:pt idx="0">
                  <c:v>Incineration</c:v>
                </c:pt>
              </c:strCache>
            </c:strRef>
          </c:tx>
          <c:spPr>
            <a:pattFill prst="wdDnDiag">
              <a:fgClr>
                <a:srgbClr val="CCCCFF"/>
              </a:fgClr>
              <a:bgClr>
                <a:schemeClr val="bg1"/>
              </a:bgClr>
            </a:pattFill>
            <a:ln w="12700">
              <a:solidFill>
                <a:srgbClr val="000000"/>
              </a:solidFill>
              <a:prstDash val="solid"/>
            </a:ln>
          </c:spPr>
          <c:invertIfNegative val="0"/>
          <c:cat>
            <c:strRef>
              <c:f>'LCA SQ'!$L$62:$M$62</c:f>
              <c:strCache>
                <c:ptCount val="2"/>
                <c:pt idx="0">
                  <c:v>Disposed of waste</c:v>
                </c:pt>
                <c:pt idx="1">
                  <c:v>Net</c:v>
                </c:pt>
              </c:strCache>
            </c:strRef>
          </c:cat>
          <c:val>
            <c:numRef>
              <c:f>'LCA SQ'!$L$83:$M$83</c:f>
              <c:numCache>
                <c:formatCode>General</c:formatCode>
                <c:ptCount val="2"/>
                <c:pt idx="0" formatCode="#,##0">
                  <c:v>0</c:v>
                </c:pt>
              </c:numCache>
            </c:numRef>
          </c:val>
          <c:extLst>
            <c:ext xmlns:c16="http://schemas.microsoft.com/office/drawing/2014/chart" uri="{C3380CC4-5D6E-409C-BE32-E72D297353CC}">
              <c16:uniqueId val="{00000014-5B23-46A4-B380-0C885B570D8F}"/>
            </c:ext>
          </c:extLst>
        </c:ser>
        <c:ser>
          <c:idx val="21"/>
          <c:order val="21"/>
          <c:tx>
            <c:strRef>
              <c:f>'LCA SQ'!$K$84</c:f>
              <c:strCache>
                <c:ptCount val="1"/>
                <c:pt idx="0">
                  <c:v>Credits</c:v>
                </c:pt>
              </c:strCache>
            </c:strRef>
          </c:tx>
          <c:spPr>
            <a:noFill/>
          </c:spPr>
          <c:invertIfNegative val="0"/>
          <c:cat>
            <c:strRef>
              <c:f>'LCA SQ'!$L$62:$M$62</c:f>
              <c:strCache>
                <c:ptCount val="2"/>
                <c:pt idx="0">
                  <c:v>Disposed of waste</c:v>
                </c:pt>
                <c:pt idx="1">
                  <c:v>Net</c:v>
                </c:pt>
              </c:strCache>
            </c:strRef>
          </c:cat>
          <c:val>
            <c:numRef>
              <c:f>'LCA SQ'!$L$84:$M$84</c:f>
              <c:numCache>
                <c:formatCode>General</c:formatCode>
                <c:ptCount val="2"/>
              </c:numCache>
            </c:numRef>
          </c:val>
          <c:extLst>
            <c:ext xmlns:c16="http://schemas.microsoft.com/office/drawing/2014/chart" uri="{C3380CC4-5D6E-409C-BE32-E72D297353CC}">
              <c16:uniqueId val="{00000002-D17B-4824-B265-1B103F26413C}"/>
            </c:ext>
          </c:extLst>
        </c:ser>
        <c:ser>
          <c:idx val="22"/>
          <c:order val="22"/>
          <c:tx>
            <c:strRef>
              <c:f>'LCA SQ'!$K$85</c:f>
              <c:strCache>
                <c:ptCount val="1"/>
                <c:pt idx="0">
                  <c:v>Net</c:v>
                </c:pt>
              </c:strCache>
            </c:strRef>
          </c:tx>
          <c:spPr>
            <a:solidFill>
              <a:srgbClr val="0000FF"/>
            </a:solidFill>
          </c:spPr>
          <c:invertIfNegative val="0"/>
          <c:cat>
            <c:strRef>
              <c:f>'LCA SQ'!$L$62:$M$62</c:f>
              <c:strCache>
                <c:ptCount val="2"/>
                <c:pt idx="0">
                  <c:v>Disposed of waste</c:v>
                </c:pt>
                <c:pt idx="1">
                  <c:v>Net</c:v>
                </c:pt>
              </c:strCache>
            </c:strRef>
          </c:cat>
          <c:val>
            <c:numRef>
              <c:f>'LCA SQ'!$L$85:$M$85</c:f>
              <c:numCache>
                <c:formatCode>#,##0</c:formatCode>
                <c:ptCount val="2"/>
                <c:pt idx="1">
                  <c:v>0</c:v>
                </c:pt>
              </c:numCache>
            </c:numRef>
          </c:val>
          <c:extLst>
            <c:ext xmlns:c16="http://schemas.microsoft.com/office/drawing/2014/chart" uri="{C3380CC4-5D6E-409C-BE32-E72D297353CC}">
              <c16:uniqueId val="{00000003-D17B-4824-B265-1B103F26413C}"/>
            </c:ext>
          </c:extLst>
        </c:ser>
        <c:dLbls>
          <c:showLegendKey val="0"/>
          <c:showVal val="0"/>
          <c:showCatName val="0"/>
          <c:showSerName val="0"/>
          <c:showPercent val="0"/>
          <c:showBubbleSize val="0"/>
        </c:dLbls>
        <c:gapWidth val="100"/>
        <c:overlap val="100"/>
        <c:axId val="561442888"/>
        <c:axId val="1"/>
      </c:barChart>
      <c:catAx>
        <c:axId val="5614428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tonne CO2e/yr</a:t>
                </a:r>
              </a:p>
            </c:rich>
          </c:tx>
          <c:layout>
            <c:manualLayout>
              <c:xMode val="edge"/>
              <c:yMode val="edge"/>
              <c:x val="1.101322770386033E-2"/>
              <c:y val="0.35933147632311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1442888"/>
        <c:crosses val="autoZero"/>
        <c:crossBetween val="between"/>
      </c:valAx>
      <c:spPr>
        <a:noFill/>
        <a:ln w="12700">
          <a:solidFill>
            <a:srgbClr val="808080"/>
          </a:solidFill>
          <a:prstDash val="solid"/>
        </a:ln>
      </c:spPr>
    </c:plotArea>
    <c:legend>
      <c:legendPos val="r"/>
      <c:legendEntry>
        <c:idx val="0"/>
        <c:txPr>
          <a:bodyPr/>
          <a:lstStyle/>
          <a:p>
            <a:pPr>
              <a:defRPr sz="780" b="1" i="0" u="none" strike="noStrike" baseline="0">
                <a:solidFill>
                  <a:srgbClr val="000000"/>
                </a:solidFill>
                <a:latin typeface="Arial"/>
                <a:ea typeface="Arial"/>
                <a:cs typeface="Arial"/>
              </a:defRPr>
            </a:pPr>
            <a:endParaRPr lang="de-DE"/>
          </a:p>
        </c:txPr>
      </c:legendEntry>
      <c:legendEntry>
        <c:idx val="1"/>
        <c:txPr>
          <a:bodyPr/>
          <a:lstStyle/>
          <a:p>
            <a:pPr>
              <a:defRPr sz="780" b="1" i="0" u="none" strike="noStrike" baseline="0">
                <a:solidFill>
                  <a:srgbClr val="000000"/>
                </a:solidFill>
                <a:latin typeface="Arial"/>
                <a:ea typeface="Arial"/>
                <a:cs typeface="Arial"/>
              </a:defRPr>
            </a:pPr>
            <a:endParaRPr lang="de-DE"/>
          </a:p>
        </c:txPr>
      </c:legendEntry>
      <c:legendEntry>
        <c:idx val="2"/>
        <c:txPr>
          <a:bodyPr/>
          <a:lstStyle/>
          <a:p>
            <a:pPr>
              <a:defRPr sz="780" b="0" i="0" u="none" strike="noStrike" baseline="0">
                <a:solidFill>
                  <a:srgbClr val="000000"/>
                </a:solidFill>
                <a:latin typeface="Arial"/>
                <a:ea typeface="Arial"/>
                <a:cs typeface="Arial"/>
              </a:defRPr>
            </a:pPr>
            <a:endParaRPr lang="de-DE"/>
          </a:p>
        </c:txPr>
      </c:legendEntry>
      <c:legendEntry>
        <c:idx val="3"/>
        <c:txPr>
          <a:bodyPr/>
          <a:lstStyle/>
          <a:p>
            <a:pPr>
              <a:defRPr sz="780" b="0" i="0" u="none" strike="noStrike" baseline="0">
                <a:solidFill>
                  <a:srgbClr val="000000"/>
                </a:solidFill>
                <a:latin typeface="Arial"/>
                <a:ea typeface="Arial"/>
                <a:cs typeface="Arial"/>
              </a:defRPr>
            </a:pPr>
            <a:endParaRPr lang="de-DE"/>
          </a:p>
        </c:txPr>
      </c:legendEntry>
      <c:legendEntry>
        <c:idx val="6"/>
        <c:txPr>
          <a:bodyPr/>
          <a:lstStyle/>
          <a:p>
            <a:pPr>
              <a:defRPr sz="780" b="0" i="0" u="none" strike="noStrike" baseline="0">
                <a:solidFill>
                  <a:srgbClr val="000000"/>
                </a:solidFill>
                <a:latin typeface="Arial"/>
                <a:ea typeface="Arial"/>
                <a:cs typeface="Arial"/>
              </a:defRPr>
            </a:pPr>
            <a:endParaRPr lang="de-DE"/>
          </a:p>
        </c:txPr>
      </c:legendEntry>
      <c:legendEntry>
        <c:idx val="7"/>
        <c:txPr>
          <a:bodyPr/>
          <a:lstStyle/>
          <a:p>
            <a:pPr>
              <a:defRPr sz="780" b="0" i="0" u="none" strike="noStrike" baseline="0">
                <a:solidFill>
                  <a:srgbClr val="000000"/>
                </a:solidFill>
                <a:latin typeface="Arial"/>
                <a:ea typeface="Arial"/>
                <a:cs typeface="Arial"/>
              </a:defRPr>
            </a:pPr>
            <a:endParaRPr lang="de-DE"/>
          </a:p>
        </c:txPr>
      </c:legendEntry>
      <c:legendEntry>
        <c:idx val="10"/>
        <c:txPr>
          <a:bodyPr/>
          <a:lstStyle/>
          <a:p>
            <a:pPr>
              <a:defRPr sz="780" b="0" i="0" u="none" strike="noStrike" baseline="0">
                <a:solidFill>
                  <a:srgbClr val="000000"/>
                </a:solidFill>
                <a:latin typeface="Arial"/>
                <a:ea typeface="Arial"/>
                <a:cs typeface="Arial"/>
              </a:defRPr>
            </a:pPr>
            <a:endParaRPr lang="de-DE"/>
          </a:p>
        </c:txPr>
      </c:legendEntry>
      <c:legendEntry>
        <c:idx val="11"/>
        <c:txPr>
          <a:bodyPr/>
          <a:lstStyle/>
          <a:p>
            <a:pPr>
              <a:defRPr sz="780" b="0" i="0" u="none" strike="noStrike" baseline="0">
                <a:solidFill>
                  <a:srgbClr val="000000"/>
                </a:solidFill>
                <a:latin typeface="Arial"/>
                <a:ea typeface="Arial"/>
                <a:cs typeface="Arial"/>
              </a:defRPr>
            </a:pPr>
            <a:endParaRPr lang="de-DE"/>
          </a:p>
        </c:txPr>
      </c:legendEntry>
      <c:legendEntry>
        <c:idx val="12"/>
        <c:txPr>
          <a:bodyPr/>
          <a:lstStyle/>
          <a:p>
            <a:pPr>
              <a:defRPr sz="780" b="1" i="0" u="none" strike="noStrike" baseline="0">
                <a:solidFill>
                  <a:srgbClr val="000000"/>
                </a:solidFill>
                <a:latin typeface="Arial"/>
                <a:ea typeface="Arial"/>
                <a:cs typeface="Arial"/>
              </a:defRPr>
            </a:pPr>
            <a:endParaRPr lang="de-DE"/>
          </a:p>
        </c:txPr>
      </c:legendEntry>
      <c:legendEntry>
        <c:idx val="13"/>
        <c:txPr>
          <a:bodyPr/>
          <a:lstStyle/>
          <a:p>
            <a:pPr>
              <a:defRPr sz="780" b="0" i="0" u="none" strike="noStrike" baseline="0">
                <a:solidFill>
                  <a:srgbClr val="000000"/>
                </a:solidFill>
                <a:latin typeface="Arial"/>
                <a:ea typeface="Arial"/>
                <a:cs typeface="Arial"/>
              </a:defRPr>
            </a:pPr>
            <a:endParaRPr lang="de-DE"/>
          </a:p>
        </c:txPr>
      </c:legendEntry>
      <c:legendEntry>
        <c:idx val="15"/>
        <c:txPr>
          <a:bodyPr/>
          <a:lstStyle/>
          <a:p>
            <a:pPr>
              <a:defRPr sz="780" b="0" i="0" u="none" strike="noStrike" baseline="0">
                <a:solidFill>
                  <a:srgbClr val="000000"/>
                </a:solidFill>
                <a:latin typeface="Arial"/>
                <a:ea typeface="Arial"/>
                <a:cs typeface="Arial"/>
              </a:defRPr>
            </a:pPr>
            <a:endParaRPr lang="de-DE"/>
          </a:p>
        </c:txPr>
      </c:legendEntry>
      <c:legendEntry>
        <c:idx val="17"/>
        <c:txPr>
          <a:bodyPr/>
          <a:lstStyle/>
          <a:p>
            <a:pPr>
              <a:defRPr sz="780" b="0" i="0" u="none" strike="noStrike" baseline="0">
                <a:solidFill>
                  <a:srgbClr val="000000"/>
                </a:solidFill>
                <a:latin typeface="Arial"/>
                <a:ea typeface="Arial"/>
                <a:cs typeface="Arial"/>
              </a:defRPr>
            </a:pPr>
            <a:endParaRPr lang="de-DE"/>
          </a:p>
        </c:txPr>
      </c:legendEntry>
      <c:layout>
        <c:manualLayout>
          <c:xMode val="edge"/>
          <c:yMode val="edge"/>
          <c:x val="0.73318386012185555"/>
          <c:y val="4.7440245124682416E-2"/>
          <c:w val="0.25217032451178367"/>
          <c:h val="0.9186541199108275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GHG emissions</a:t>
            </a:r>
          </a:p>
        </c:rich>
      </c:tx>
      <c:layout>
        <c:manualLayout>
          <c:xMode val="edge"/>
          <c:yMode val="edge"/>
          <c:x val="0.45858676331037584"/>
          <c:y val="1.3661238636757804E-2"/>
        </c:manualLayout>
      </c:layout>
      <c:overlay val="0"/>
      <c:spPr>
        <a:noFill/>
        <a:ln w="25400">
          <a:noFill/>
        </a:ln>
      </c:spPr>
    </c:title>
    <c:autoTitleDeleted val="0"/>
    <c:plotArea>
      <c:layout>
        <c:manualLayout>
          <c:layoutTarget val="inner"/>
          <c:xMode val="edge"/>
          <c:yMode val="edge"/>
          <c:x val="0.1898993645426226"/>
          <c:y val="9.2896422729953063E-2"/>
          <c:w val="0.77777931222244368"/>
          <c:h val="0.79235184093195266"/>
        </c:manualLayout>
      </c:layout>
      <c:barChart>
        <c:barDir val="col"/>
        <c:grouping val="clustered"/>
        <c:varyColors val="0"/>
        <c:ser>
          <c:idx val="0"/>
          <c:order val="0"/>
          <c:tx>
            <c:strRef>
              <c:f>'LCA SQ'!$G$54</c:f>
              <c:strCache>
                <c:ptCount val="1"/>
                <c:pt idx="0">
                  <c:v> Debits</c:v>
                </c:pt>
              </c:strCache>
            </c:strRef>
          </c:tx>
          <c:spPr>
            <a:solidFill>
              <a:srgbClr val="FFCC99"/>
            </a:solidFill>
            <a:ln w="12700">
              <a:solidFill>
                <a:srgbClr val="000000"/>
              </a:solidFill>
              <a:prstDash val="solid"/>
            </a:ln>
          </c:spPr>
          <c:invertIfNegative val="0"/>
          <c:cat>
            <c:strRef>
              <c:f>'LCA SQ'!$H$53:$J$53</c:f>
              <c:strCache>
                <c:ptCount val="3"/>
                <c:pt idx="0">
                  <c:v>Recycled waste</c:v>
                </c:pt>
                <c:pt idx="1">
                  <c:v>Disposed of waste</c:v>
                </c:pt>
                <c:pt idx="2">
                  <c:v>Total MSW</c:v>
                </c:pt>
              </c:strCache>
            </c:strRef>
          </c:cat>
          <c:val>
            <c:numRef>
              <c:f>'LCA SQ'!$H$54:$J$54</c:f>
              <c:numCache>
                <c:formatCode>#,##0</c:formatCode>
                <c:ptCount val="3"/>
                <c:pt idx="0">
                  <c:v>0</c:v>
                </c:pt>
                <c:pt idx="1">
                  <c:v>0</c:v>
                </c:pt>
                <c:pt idx="2">
                  <c:v>0</c:v>
                </c:pt>
              </c:numCache>
            </c:numRef>
          </c:val>
          <c:extLst>
            <c:ext xmlns:c16="http://schemas.microsoft.com/office/drawing/2014/chart" uri="{C3380CC4-5D6E-409C-BE32-E72D297353CC}">
              <c16:uniqueId val="{00000000-3383-4009-805F-0D1CE694EAB8}"/>
            </c:ext>
          </c:extLst>
        </c:ser>
        <c:ser>
          <c:idx val="1"/>
          <c:order val="1"/>
          <c:tx>
            <c:strRef>
              <c:f>'LCA SQ'!$G$55</c:f>
              <c:strCache>
                <c:ptCount val="1"/>
                <c:pt idx="0">
                  <c:v> Credits</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cat>
            <c:strRef>
              <c:f>'LCA SQ'!$H$53:$J$53</c:f>
              <c:strCache>
                <c:ptCount val="3"/>
                <c:pt idx="0">
                  <c:v>Recycled waste</c:v>
                </c:pt>
                <c:pt idx="1">
                  <c:v>Disposed of waste</c:v>
                </c:pt>
                <c:pt idx="2">
                  <c:v>Total MSW</c:v>
                </c:pt>
              </c:strCache>
            </c:strRef>
          </c:cat>
          <c:val>
            <c:numRef>
              <c:f>'LCA SQ'!$H$55:$J$55</c:f>
              <c:numCache>
                <c:formatCode>#,##0</c:formatCode>
                <c:ptCount val="3"/>
                <c:pt idx="0">
                  <c:v>0</c:v>
                </c:pt>
                <c:pt idx="1">
                  <c:v>0</c:v>
                </c:pt>
                <c:pt idx="2">
                  <c:v>0</c:v>
                </c:pt>
              </c:numCache>
            </c:numRef>
          </c:val>
          <c:extLst>
            <c:ext xmlns:c16="http://schemas.microsoft.com/office/drawing/2014/chart" uri="{C3380CC4-5D6E-409C-BE32-E72D297353CC}">
              <c16:uniqueId val="{00000001-3383-4009-805F-0D1CE694EAB8}"/>
            </c:ext>
          </c:extLst>
        </c:ser>
        <c:ser>
          <c:idx val="2"/>
          <c:order val="2"/>
          <c:tx>
            <c:strRef>
              <c:f>'LCA SQ'!$G$56</c:f>
              <c:strCache>
                <c:ptCount val="1"/>
                <c:pt idx="0">
                  <c:v> Net</c:v>
                </c:pt>
              </c:strCache>
            </c:strRef>
          </c:tx>
          <c:spPr>
            <a:solidFill>
              <a:srgbClr val="0000FF"/>
            </a:solidFill>
            <a:ln w="12700">
              <a:solidFill>
                <a:srgbClr val="000000"/>
              </a:solidFill>
              <a:prstDash val="solid"/>
            </a:ln>
          </c:spPr>
          <c:invertIfNegative val="0"/>
          <c:cat>
            <c:strRef>
              <c:f>'LCA SQ'!$H$53:$J$53</c:f>
              <c:strCache>
                <c:ptCount val="3"/>
                <c:pt idx="0">
                  <c:v>Recycled waste</c:v>
                </c:pt>
                <c:pt idx="1">
                  <c:v>Disposed of waste</c:v>
                </c:pt>
                <c:pt idx="2">
                  <c:v>Total MSW</c:v>
                </c:pt>
              </c:strCache>
            </c:strRef>
          </c:cat>
          <c:val>
            <c:numRef>
              <c:f>'LCA SQ'!$H$56:$J$56</c:f>
              <c:numCache>
                <c:formatCode>#,##0</c:formatCode>
                <c:ptCount val="3"/>
                <c:pt idx="0">
                  <c:v>0</c:v>
                </c:pt>
                <c:pt idx="1">
                  <c:v>0</c:v>
                </c:pt>
                <c:pt idx="2">
                  <c:v>0</c:v>
                </c:pt>
              </c:numCache>
            </c:numRef>
          </c:val>
          <c:extLst>
            <c:ext xmlns:c16="http://schemas.microsoft.com/office/drawing/2014/chart" uri="{C3380CC4-5D6E-409C-BE32-E72D297353CC}">
              <c16:uniqueId val="{00000002-3383-4009-805F-0D1CE694EAB8}"/>
            </c:ext>
          </c:extLst>
        </c:ser>
        <c:dLbls>
          <c:showLegendKey val="0"/>
          <c:showVal val="0"/>
          <c:showCatName val="0"/>
          <c:showSerName val="0"/>
          <c:showPercent val="0"/>
          <c:showBubbleSize val="0"/>
        </c:dLbls>
        <c:gapWidth val="100"/>
        <c:axId val="560818416"/>
        <c:axId val="1"/>
      </c:barChart>
      <c:catAx>
        <c:axId val="560818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de-DE"/>
                  <a:t>tonne CO2e/yr</a:t>
                </a:r>
              </a:p>
            </c:rich>
          </c:tx>
          <c:layout>
            <c:manualLayout>
              <c:xMode val="edge"/>
              <c:yMode val="edge"/>
              <c:x val="2.0202060057725808E-2"/>
              <c:y val="0.336066470464241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560818416"/>
        <c:crosses val="autoZero"/>
        <c:crossBetween val="between"/>
      </c:valAx>
      <c:spPr>
        <a:noFill/>
        <a:ln w="3175">
          <a:solidFill>
            <a:srgbClr val="000000"/>
          </a:solidFill>
          <a:prstDash val="solid"/>
        </a:ln>
      </c:spPr>
    </c:plotArea>
    <c:legend>
      <c:legendPos val="r"/>
      <c:layout>
        <c:manualLayout>
          <c:xMode val="edge"/>
          <c:yMode val="edge"/>
          <c:x val="0.20808121859457582"/>
          <c:y val="0.11202215682141399"/>
          <c:w val="0.17575792250221453"/>
          <c:h val="0.18032835000520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Waste treated</a:t>
            </a:r>
          </a:p>
        </c:rich>
      </c:tx>
      <c:layout>
        <c:manualLayout>
          <c:xMode val="edge"/>
          <c:yMode val="edge"/>
          <c:x val="0.41379351328116409"/>
          <c:y val="1.2285012285012284E-2"/>
        </c:manualLayout>
      </c:layout>
      <c:overlay val="0"/>
      <c:spPr>
        <a:noFill/>
        <a:ln w="25400">
          <a:noFill/>
        </a:ln>
      </c:spPr>
    </c:title>
    <c:autoTitleDeleted val="0"/>
    <c:plotArea>
      <c:layout>
        <c:manualLayout>
          <c:layoutTarget val="inner"/>
          <c:xMode val="edge"/>
          <c:yMode val="edge"/>
          <c:x val="0.19878315834095139"/>
          <c:y val="9.0909090909090912E-2"/>
          <c:w val="0.77687703718963652"/>
          <c:h val="0.601965601965602"/>
        </c:manualLayout>
      </c:layout>
      <c:barChart>
        <c:barDir val="col"/>
        <c:grouping val="clustered"/>
        <c:varyColors val="0"/>
        <c:ser>
          <c:idx val="0"/>
          <c:order val="0"/>
          <c:spPr>
            <a:solidFill>
              <a:srgbClr val="008000"/>
            </a:solidFill>
            <a:ln w="12700">
              <a:solidFill>
                <a:srgbClr val="000000"/>
              </a:solidFill>
              <a:prstDash val="solid"/>
            </a:ln>
          </c:spPr>
          <c:invertIfNegative val="0"/>
          <c:cat>
            <c:strRef>
              <c:f>('LCA Sc1'!$B$7:$B$14,'LCA Sc1'!$B$17:$B$26)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Sc1'!$C$7:$C$14,'LCA Sc1'!$C$17:$C$26)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34F8-44BF-ABDB-050BC5B9262E}"/>
            </c:ext>
          </c:extLst>
        </c:ser>
        <c:dLbls>
          <c:showLegendKey val="0"/>
          <c:showVal val="0"/>
          <c:showCatName val="0"/>
          <c:showSerName val="0"/>
          <c:showPercent val="0"/>
          <c:showBubbleSize val="0"/>
        </c:dLbls>
        <c:gapWidth val="100"/>
        <c:axId val="563017368"/>
        <c:axId val="1"/>
      </c:barChart>
      <c:catAx>
        <c:axId val="56301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366000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de-DE"/>
                  <a:t>t/yr</a:t>
                </a:r>
              </a:p>
            </c:rich>
          </c:tx>
          <c:layout>
            <c:manualLayout>
              <c:xMode val="edge"/>
              <c:yMode val="edge"/>
              <c:x val="1.0141997874538336E-2"/>
              <c:y val="0.3587223587223587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563017368"/>
        <c:crosses val="autoZero"/>
        <c:crossBetween val="between"/>
      </c:valAx>
      <c:spPr>
        <a:noFill/>
        <a:ln w="3175">
          <a:solidFill>
            <a:srgbClr val="000000"/>
          </a:solidFill>
          <a:prstDash val="solid"/>
        </a:ln>
      </c:spPr>
    </c:plotArea>
    <c:plotVisOnly val="1"/>
    <c:dispBlanksAs val="gap"/>
    <c:showDLblsOverMax val="0"/>
  </c:chart>
  <c:spPr>
    <a:no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recycling</a:t>
            </a:r>
          </a:p>
        </c:rich>
      </c:tx>
      <c:layout>
        <c:manualLayout>
          <c:xMode val="edge"/>
          <c:yMode val="edge"/>
          <c:x val="0.24764179461991753"/>
          <c:y val="1.7595307917888565E-2"/>
        </c:manualLayout>
      </c:layout>
      <c:overlay val="0"/>
      <c:spPr>
        <a:noFill/>
        <a:ln w="25400">
          <a:noFill/>
        </a:ln>
      </c:spPr>
    </c:title>
    <c:autoTitleDeleted val="0"/>
    <c:plotArea>
      <c:layout>
        <c:manualLayout>
          <c:layoutTarget val="inner"/>
          <c:xMode val="edge"/>
          <c:yMode val="edge"/>
          <c:x val="0.23584932820944526"/>
          <c:y val="0.10263929618768329"/>
          <c:w val="0.45518920344422936"/>
          <c:h val="0.77126099706744866"/>
        </c:manualLayout>
      </c:layout>
      <c:barChart>
        <c:barDir val="col"/>
        <c:grouping val="stacked"/>
        <c:varyColors val="0"/>
        <c:ser>
          <c:idx val="0"/>
          <c:order val="0"/>
          <c:tx>
            <c:strRef>
              <c:f>'LCA Sc1'!$B$63</c:f>
              <c:strCache>
                <c:ptCount val="1"/>
                <c:pt idx="0">
                  <c:v>Food waste</c:v>
                </c:pt>
              </c:strCache>
            </c:strRef>
          </c:tx>
          <c:spPr>
            <a:solidFill>
              <a:srgbClr val="99CC00"/>
            </a:solidFill>
            <a:ln w="12700">
              <a:solidFill>
                <a:srgbClr val="000000"/>
              </a:solidFill>
              <a:prstDash val="solid"/>
            </a:ln>
          </c:spPr>
          <c:invertIfNegative val="0"/>
          <c:cat>
            <c:strRef>
              <c:f>'LCA Sc1'!$C$62:$D$62</c:f>
              <c:strCache>
                <c:ptCount val="2"/>
                <c:pt idx="0">
                  <c:v>Recycled waste</c:v>
                </c:pt>
                <c:pt idx="1">
                  <c:v>Net</c:v>
                </c:pt>
              </c:strCache>
            </c:strRef>
          </c:cat>
          <c:val>
            <c:numRef>
              <c:f>'LCA Sc1'!$C$63:$D$63</c:f>
              <c:numCache>
                <c:formatCode>General</c:formatCode>
                <c:ptCount val="2"/>
                <c:pt idx="0" formatCode="#,##0">
                  <c:v>0</c:v>
                </c:pt>
              </c:numCache>
            </c:numRef>
          </c:val>
          <c:extLst>
            <c:ext xmlns:c16="http://schemas.microsoft.com/office/drawing/2014/chart" uri="{C3380CC4-5D6E-409C-BE32-E72D297353CC}">
              <c16:uniqueId val="{00000000-6B6C-4210-92C1-C0FFFF69F828}"/>
            </c:ext>
          </c:extLst>
        </c:ser>
        <c:ser>
          <c:idx val="1"/>
          <c:order val="1"/>
          <c:tx>
            <c:strRef>
              <c:f>'LCA Sc1'!$B$64</c:f>
              <c:strCache>
                <c:ptCount val="1"/>
                <c:pt idx="0">
                  <c:v>Garden and Park waste</c:v>
                </c:pt>
              </c:strCache>
            </c:strRef>
          </c:tx>
          <c:spPr>
            <a:solidFill>
              <a:srgbClr val="000080"/>
            </a:solidFill>
            <a:ln w="12700">
              <a:solidFill>
                <a:srgbClr val="000000"/>
              </a:solidFill>
              <a:prstDash val="solid"/>
            </a:ln>
          </c:spPr>
          <c:invertIfNegative val="0"/>
          <c:cat>
            <c:strRef>
              <c:f>'LCA Sc1'!$C$62:$D$62</c:f>
              <c:strCache>
                <c:ptCount val="2"/>
                <c:pt idx="0">
                  <c:v>Recycled waste</c:v>
                </c:pt>
                <c:pt idx="1">
                  <c:v>Net</c:v>
                </c:pt>
              </c:strCache>
            </c:strRef>
          </c:cat>
          <c:val>
            <c:numRef>
              <c:f>'LCA Sc1'!$C$64:$D$64</c:f>
              <c:numCache>
                <c:formatCode>General</c:formatCode>
                <c:ptCount val="2"/>
                <c:pt idx="0" formatCode="#,##0">
                  <c:v>0</c:v>
                </c:pt>
              </c:numCache>
            </c:numRef>
          </c:val>
          <c:extLst>
            <c:ext xmlns:c16="http://schemas.microsoft.com/office/drawing/2014/chart" uri="{C3380CC4-5D6E-409C-BE32-E72D297353CC}">
              <c16:uniqueId val="{00000001-6B6C-4210-92C1-C0FFFF69F828}"/>
            </c:ext>
          </c:extLst>
        </c:ser>
        <c:ser>
          <c:idx val="2"/>
          <c:order val="2"/>
          <c:tx>
            <c:strRef>
              <c:f>'LCA Sc1'!$B$65</c:f>
              <c:strCache>
                <c:ptCount val="1"/>
                <c:pt idx="0">
                  <c:v>Paper, cardboard</c:v>
                </c:pt>
              </c:strCache>
            </c:strRef>
          </c:tx>
          <c:spPr>
            <a:solidFill>
              <a:srgbClr val="CC99FF"/>
            </a:solidFill>
            <a:ln w="12700">
              <a:solidFill>
                <a:srgbClr val="000000"/>
              </a:solidFill>
              <a:prstDash val="solid"/>
            </a:ln>
          </c:spPr>
          <c:invertIfNegative val="0"/>
          <c:cat>
            <c:strRef>
              <c:f>'LCA Sc1'!$C$62:$D$62</c:f>
              <c:strCache>
                <c:ptCount val="2"/>
                <c:pt idx="0">
                  <c:v>Recycled waste</c:v>
                </c:pt>
                <c:pt idx="1">
                  <c:v>Net</c:v>
                </c:pt>
              </c:strCache>
            </c:strRef>
          </c:cat>
          <c:val>
            <c:numRef>
              <c:f>'LCA Sc1'!$C$65:$D$65</c:f>
              <c:numCache>
                <c:formatCode>General</c:formatCode>
                <c:ptCount val="2"/>
                <c:pt idx="0" formatCode="#,##0">
                  <c:v>0</c:v>
                </c:pt>
              </c:numCache>
            </c:numRef>
          </c:val>
          <c:extLst>
            <c:ext xmlns:c16="http://schemas.microsoft.com/office/drawing/2014/chart" uri="{C3380CC4-5D6E-409C-BE32-E72D297353CC}">
              <c16:uniqueId val="{00000002-6B6C-4210-92C1-C0FFFF69F828}"/>
            </c:ext>
          </c:extLst>
        </c:ser>
        <c:ser>
          <c:idx val="3"/>
          <c:order val="3"/>
          <c:tx>
            <c:strRef>
              <c:f>'LCA Sc1'!$B$66</c:f>
              <c:strCache>
                <c:ptCount val="1"/>
                <c:pt idx="0">
                  <c:v>Plastics</c:v>
                </c:pt>
              </c:strCache>
            </c:strRef>
          </c:tx>
          <c:spPr>
            <a:solidFill>
              <a:srgbClr val="FFFF00"/>
            </a:solidFill>
            <a:ln w="12700">
              <a:solidFill>
                <a:srgbClr val="000000"/>
              </a:solidFill>
              <a:prstDash val="solid"/>
            </a:ln>
          </c:spPr>
          <c:invertIfNegative val="0"/>
          <c:cat>
            <c:strRef>
              <c:f>'LCA Sc1'!$C$62:$D$62</c:f>
              <c:strCache>
                <c:ptCount val="2"/>
                <c:pt idx="0">
                  <c:v>Recycled waste</c:v>
                </c:pt>
                <c:pt idx="1">
                  <c:v>Net</c:v>
                </c:pt>
              </c:strCache>
            </c:strRef>
          </c:cat>
          <c:val>
            <c:numRef>
              <c:f>'LCA Sc1'!$C$66:$D$66</c:f>
              <c:numCache>
                <c:formatCode>General</c:formatCode>
                <c:ptCount val="2"/>
                <c:pt idx="0" formatCode="#,##0">
                  <c:v>0</c:v>
                </c:pt>
              </c:numCache>
            </c:numRef>
          </c:val>
          <c:extLst>
            <c:ext xmlns:c16="http://schemas.microsoft.com/office/drawing/2014/chart" uri="{C3380CC4-5D6E-409C-BE32-E72D297353CC}">
              <c16:uniqueId val="{00000003-6B6C-4210-92C1-C0FFFF69F828}"/>
            </c:ext>
          </c:extLst>
        </c:ser>
        <c:ser>
          <c:idx val="4"/>
          <c:order val="4"/>
          <c:tx>
            <c:strRef>
              <c:f>'LCA Sc1'!$B$67</c:f>
              <c:strCache>
                <c:ptCount val="1"/>
                <c:pt idx="0">
                  <c:v>Glass</c:v>
                </c:pt>
              </c:strCache>
            </c:strRef>
          </c:tx>
          <c:spPr>
            <a:solidFill>
              <a:srgbClr val="FF99CC"/>
            </a:solidFill>
            <a:ln w="12700">
              <a:solidFill>
                <a:srgbClr val="000000"/>
              </a:solidFill>
              <a:prstDash val="solid"/>
            </a:ln>
          </c:spPr>
          <c:invertIfNegative val="0"/>
          <c:cat>
            <c:strRef>
              <c:f>'LCA Sc1'!$C$62:$D$62</c:f>
              <c:strCache>
                <c:ptCount val="2"/>
                <c:pt idx="0">
                  <c:v>Recycled waste</c:v>
                </c:pt>
                <c:pt idx="1">
                  <c:v>Net</c:v>
                </c:pt>
              </c:strCache>
            </c:strRef>
          </c:cat>
          <c:val>
            <c:numRef>
              <c:f>'LCA Sc1'!$C$67:$D$67</c:f>
              <c:numCache>
                <c:formatCode>General</c:formatCode>
                <c:ptCount val="2"/>
                <c:pt idx="0" formatCode="#,##0">
                  <c:v>0</c:v>
                </c:pt>
              </c:numCache>
            </c:numRef>
          </c:val>
          <c:extLst>
            <c:ext xmlns:c16="http://schemas.microsoft.com/office/drawing/2014/chart" uri="{C3380CC4-5D6E-409C-BE32-E72D297353CC}">
              <c16:uniqueId val="{00000004-6B6C-4210-92C1-C0FFFF69F828}"/>
            </c:ext>
          </c:extLst>
        </c:ser>
        <c:ser>
          <c:idx val="5"/>
          <c:order val="5"/>
          <c:tx>
            <c:strRef>
              <c:f>'LCA Sc1'!$B$68</c:f>
              <c:strCache>
                <c:ptCount val="1"/>
                <c:pt idx="0">
                  <c:v>Ferrous Metals</c:v>
                </c:pt>
              </c:strCache>
            </c:strRef>
          </c:tx>
          <c:spPr>
            <a:solidFill>
              <a:srgbClr val="C0C0C0"/>
            </a:solidFill>
            <a:ln w="12700">
              <a:solidFill>
                <a:srgbClr val="000000"/>
              </a:solidFill>
              <a:prstDash val="solid"/>
            </a:ln>
          </c:spPr>
          <c:invertIfNegative val="0"/>
          <c:cat>
            <c:strRef>
              <c:f>'LCA Sc1'!$C$62:$D$62</c:f>
              <c:strCache>
                <c:ptCount val="2"/>
                <c:pt idx="0">
                  <c:v>Recycled waste</c:v>
                </c:pt>
                <c:pt idx="1">
                  <c:v>Net</c:v>
                </c:pt>
              </c:strCache>
            </c:strRef>
          </c:cat>
          <c:val>
            <c:numRef>
              <c:f>'LCA Sc1'!$C$68:$D$68</c:f>
              <c:numCache>
                <c:formatCode>General</c:formatCode>
                <c:ptCount val="2"/>
                <c:pt idx="0" formatCode="#,##0">
                  <c:v>0</c:v>
                </c:pt>
              </c:numCache>
            </c:numRef>
          </c:val>
          <c:extLst>
            <c:ext xmlns:c16="http://schemas.microsoft.com/office/drawing/2014/chart" uri="{C3380CC4-5D6E-409C-BE32-E72D297353CC}">
              <c16:uniqueId val="{00000005-6B6C-4210-92C1-C0FFFF69F828}"/>
            </c:ext>
          </c:extLst>
        </c:ser>
        <c:ser>
          <c:idx val="6"/>
          <c:order val="6"/>
          <c:tx>
            <c:strRef>
              <c:f>'LCA Sc1'!$B$69</c:f>
              <c:strCache>
                <c:ptCount val="1"/>
                <c:pt idx="0">
                  <c:v>Aluminium</c:v>
                </c:pt>
              </c:strCache>
            </c:strRef>
          </c:tx>
          <c:spPr>
            <a:solidFill>
              <a:srgbClr val="993366"/>
            </a:solidFill>
            <a:ln w="12700">
              <a:solidFill>
                <a:srgbClr val="000000"/>
              </a:solidFill>
              <a:prstDash val="solid"/>
            </a:ln>
          </c:spPr>
          <c:invertIfNegative val="0"/>
          <c:cat>
            <c:strRef>
              <c:f>'LCA Sc1'!$C$62:$D$62</c:f>
              <c:strCache>
                <c:ptCount val="2"/>
                <c:pt idx="0">
                  <c:v>Recycled waste</c:v>
                </c:pt>
                <c:pt idx="1">
                  <c:v>Net</c:v>
                </c:pt>
              </c:strCache>
            </c:strRef>
          </c:cat>
          <c:val>
            <c:numRef>
              <c:f>'LCA Sc1'!$C$69:$D$69</c:f>
              <c:numCache>
                <c:formatCode>General</c:formatCode>
                <c:ptCount val="2"/>
                <c:pt idx="0" formatCode="#,##0">
                  <c:v>0</c:v>
                </c:pt>
              </c:numCache>
            </c:numRef>
          </c:val>
          <c:extLst>
            <c:ext xmlns:c16="http://schemas.microsoft.com/office/drawing/2014/chart" uri="{C3380CC4-5D6E-409C-BE32-E72D297353CC}">
              <c16:uniqueId val="{00000006-6B6C-4210-92C1-C0FFFF69F828}"/>
            </c:ext>
          </c:extLst>
        </c:ser>
        <c:ser>
          <c:idx val="7"/>
          <c:order val="7"/>
          <c:tx>
            <c:strRef>
              <c:f>'LCA Sc1'!$B$70</c:f>
              <c:strCache>
                <c:ptCount val="1"/>
              </c:strCache>
            </c:strRef>
          </c:tx>
          <c:spPr>
            <a:solidFill>
              <a:srgbClr val="9999FF"/>
            </a:solidFill>
            <a:ln w="12700">
              <a:solidFill>
                <a:srgbClr val="000000"/>
              </a:solidFill>
              <a:prstDash val="solid"/>
            </a:ln>
          </c:spPr>
          <c:invertIfNegative val="0"/>
          <c:cat>
            <c:strRef>
              <c:f>'LCA Sc1'!$C$62:$D$62</c:f>
              <c:strCache>
                <c:ptCount val="2"/>
                <c:pt idx="0">
                  <c:v>Recycled waste</c:v>
                </c:pt>
                <c:pt idx="1">
                  <c:v>Net</c:v>
                </c:pt>
              </c:strCache>
            </c:strRef>
          </c:cat>
          <c:val>
            <c:numRef>
              <c:f>'LCA Sc1'!$C$70:$D$70</c:f>
              <c:numCache>
                <c:formatCode>General</c:formatCode>
                <c:ptCount val="2"/>
              </c:numCache>
            </c:numRef>
          </c:val>
          <c:extLst>
            <c:ext xmlns:c16="http://schemas.microsoft.com/office/drawing/2014/chart" uri="{C3380CC4-5D6E-409C-BE32-E72D297353CC}">
              <c16:uniqueId val="{00000007-6B6C-4210-92C1-C0FFFF69F828}"/>
            </c:ext>
          </c:extLst>
        </c:ser>
        <c:ser>
          <c:idx val="8"/>
          <c:order val="8"/>
          <c:tx>
            <c:strRef>
              <c:f>'LCA Sc1'!$B$71</c:f>
              <c:strCache>
                <c:ptCount val="1"/>
                <c:pt idx="0">
                  <c:v>Debits</c:v>
                </c:pt>
              </c:strCache>
            </c:strRef>
          </c:tx>
          <c:spPr>
            <a:noFill/>
            <a:ln w="25400">
              <a:noFill/>
            </a:ln>
          </c:spPr>
          <c:invertIfNegative val="0"/>
          <c:cat>
            <c:strRef>
              <c:f>'LCA Sc1'!$C$62:$D$62</c:f>
              <c:strCache>
                <c:ptCount val="2"/>
                <c:pt idx="0">
                  <c:v>Recycled waste</c:v>
                </c:pt>
                <c:pt idx="1">
                  <c:v>Net</c:v>
                </c:pt>
              </c:strCache>
            </c:strRef>
          </c:cat>
          <c:val>
            <c:numRef>
              <c:f>'LCA Sc1'!$C$71:$D$71</c:f>
              <c:numCache>
                <c:formatCode>#,##0</c:formatCode>
                <c:ptCount val="2"/>
              </c:numCache>
            </c:numRef>
          </c:val>
          <c:extLst>
            <c:ext xmlns:c16="http://schemas.microsoft.com/office/drawing/2014/chart" uri="{C3380CC4-5D6E-409C-BE32-E72D297353CC}">
              <c16:uniqueId val="{00000008-6B6C-4210-92C1-C0FFFF69F828}"/>
            </c:ext>
          </c:extLst>
        </c:ser>
        <c:ser>
          <c:idx val="9"/>
          <c:order val="9"/>
          <c:tx>
            <c:strRef>
              <c:f>'LCA Sc1'!$B$72</c:f>
              <c:strCache>
                <c:ptCount val="1"/>
                <c:pt idx="0">
                  <c:v>Food waste</c:v>
                </c:pt>
              </c:strCache>
            </c:strRef>
          </c:tx>
          <c:spPr>
            <a:pattFill prst="wdDn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Sc1'!$C$72:$D$72</c:f>
              <c:numCache>
                <c:formatCode>General</c:formatCode>
                <c:ptCount val="2"/>
                <c:pt idx="0" formatCode="#,##0">
                  <c:v>0</c:v>
                </c:pt>
              </c:numCache>
            </c:numRef>
          </c:val>
          <c:extLst>
            <c:ext xmlns:c16="http://schemas.microsoft.com/office/drawing/2014/chart" uri="{C3380CC4-5D6E-409C-BE32-E72D297353CC}">
              <c16:uniqueId val="{00000009-6B6C-4210-92C1-C0FFFF69F828}"/>
            </c:ext>
          </c:extLst>
        </c:ser>
        <c:ser>
          <c:idx val="10"/>
          <c:order val="10"/>
          <c:tx>
            <c:strRef>
              <c:f>'LCA Sc1'!$B$73</c:f>
              <c:strCache>
                <c:ptCount val="1"/>
                <c:pt idx="0">
                  <c:v>Garden and Park waste</c:v>
                </c:pt>
              </c:strCache>
            </c:strRef>
          </c:tx>
          <c:spPr>
            <a:pattFill prst="wdUpDiag">
              <a:fgClr>
                <a:srgbClr xmlns:mc="http://schemas.openxmlformats.org/markup-compatibility/2006" xmlns:a14="http://schemas.microsoft.com/office/drawing/2010/main" val="000080" mc:Ignorable="a14" a14:legacySpreadsheetColorIndex="3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Sc1'!$C$73:$D$73</c:f>
              <c:numCache>
                <c:formatCode>General</c:formatCode>
                <c:ptCount val="2"/>
                <c:pt idx="0" formatCode="#,##0">
                  <c:v>0</c:v>
                </c:pt>
              </c:numCache>
            </c:numRef>
          </c:val>
          <c:extLst>
            <c:ext xmlns:c16="http://schemas.microsoft.com/office/drawing/2014/chart" uri="{C3380CC4-5D6E-409C-BE32-E72D297353CC}">
              <c16:uniqueId val="{0000000A-6B6C-4210-92C1-C0FFFF69F828}"/>
            </c:ext>
          </c:extLst>
        </c:ser>
        <c:ser>
          <c:idx val="11"/>
          <c:order val="11"/>
          <c:tx>
            <c:strRef>
              <c:f>'LCA Sc1'!$B$74</c:f>
              <c:strCache>
                <c:ptCount val="1"/>
                <c:pt idx="0">
                  <c:v>Paper, cardboard</c:v>
                </c:pt>
              </c:strCache>
            </c:strRef>
          </c:tx>
          <c:spPr>
            <a:pattFill prst="wdDnDiag">
              <a:fgClr>
                <a:srgbClr xmlns:mc="http://schemas.openxmlformats.org/markup-compatibility/2006" xmlns:a14="http://schemas.microsoft.com/office/drawing/2010/main" val="CC99FF" mc:Ignorable="a14" a14:legacySpreadsheetColorIndex="46"/>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Sc1'!$C$74:$D$74</c:f>
              <c:numCache>
                <c:formatCode>General</c:formatCode>
                <c:ptCount val="2"/>
                <c:pt idx="0" formatCode="#,##0">
                  <c:v>0</c:v>
                </c:pt>
              </c:numCache>
            </c:numRef>
          </c:val>
          <c:extLst>
            <c:ext xmlns:c16="http://schemas.microsoft.com/office/drawing/2014/chart" uri="{C3380CC4-5D6E-409C-BE32-E72D297353CC}">
              <c16:uniqueId val="{0000000B-6B6C-4210-92C1-C0FFFF69F828}"/>
            </c:ext>
          </c:extLst>
        </c:ser>
        <c:ser>
          <c:idx val="12"/>
          <c:order val="12"/>
          <c:tx>
            <c:strRef>
              <c:f>'LCA Sc1'!$B$75</c:f>
              <c:strCache>
                <c:ptCount val="1"/>
                <c:pt idx="0">
                  <c:v>Plastics</c:v>
                </c:pt>
              </c:strCache>
            </c:strRef>
          </c:tx>
          <c:spPr>
            <a:pattFill prst="wdUpDiag">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Sc1'!$C$75:$D$75</c:f>
              <c:numCache>
                <c:formatCode>General</c:formatCode>
                <c:ptCount val="2"/>
                <c:pt idx="0" formatCode="#,##0">
                  <c:v>0</c:v>
                </c:pt>
              </c:numCache>
            </c:numRef>
          </c:val>
          <c:extLst>
            <c:ext xmlns:c16="http://schemas.microsoft.com/office/drawing/2014/chart" uri="{C3380CC4-5D6E-409C-BE32-E72D297353CC}">
              <c16:uniqueId val="{0000000C-6B6C-4210-92C1-C0FFFF69F828}"/>
            </c:ext>
          </c:extLst>
        </c:ser>
        <c:ser>
          <c:idx val="13"/>
          <c:order val="13"/>
          <c:tx>
            <c:strRef>
              <c:f>'LCA Sc1'!$B$76</c:f>
              <c:strCache>
                <c:ptCount val="1"/>
                <c:pt idx="0">
                  <c:v>Glass</c:v>
                </c:pt>
              </c:strCache>
            </c:strRef>
          </c:tx>
          <c:spPr>
            <a:pattFill prst="wdDn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Sc1'!$C$76:$D$76</c:f>
              <c:numCache>
                <c:formatCode>General</c:formatCode>
                <c:ptCount val="2"/>
                <c:pt idx="0" formatCode="#,##0">
                  <c:v>0</c:v>
                </c:pt>
              </c:numCache>
            </c:numRef>
          </c:val>
          <c:extLst>
            <c:ext xmlns:c16="http://schemas.microsoft.com/office/drawing/2014/chart" uri="{C3380CC4-5D6E-409C-BE32-E72D297353CC}">
              <c16:uniqueId val="{0000000D-6B6C-4210-92C1-C0FFFF69F828}"/>
            </c:ext>
          </c:extLst>
        </c:ser>
        <c:ser>
          <c:idx val="14"/>
          <c:order val="14"/>
          <c:tx>
            <c:strRef>
              <c:f>'LCA Sc1'!$B$77</c:f>
              <c:strCache>
                <c:ptCount val="1"/>
                <c:pt idx="0">
                  <c:v>Ferrous Metals</c:v>
                </c:pt>
              </c:strCache>
            </c:strRef>
          </c:tx>
          <c:spPr>
            <a:pattFill prst="wdUpDiag">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Sc1'!$C$77:$D$77</c:f>
              <c:numCache>
                <c:formatCode>General</c:formatCode>
                <c:ptCount val="2"/>
                <c:pt idx="0" formatCode="#,##0">
                  <c:v>0</c:v>
                </c:pt>
              </c:numCache>
            </c:numRef>
          </c:val>
          <c:extLst>
            <c:ext xmlns:c16="http://schemas.microsoft.com/office/drawing/2014/chart" uri="{C3380CC4-5D6E-409C-BE32-E72D297353CC}">
              <c16:uniqueId val="{0000000E-6B6C-4210-92C1-C0FFFF69F828}"/>
            </c:ext>
          </c:extLst>
        </c:ser>
        <c:ser>
          <c:idx val="15"/>
          <c:order val="15"/>
          <c:tx>
            <c:strRef>
              <c:f>'LCA Sc1'!$B$78</c:f>
              <c:strCache>
                <c:ptCount val="1"/>
                <c:pt idx="0">
                  <c:v>Aluminium</c:v>
                </c:pt>
              </c:strCache>
            </c:strRef>
          </c:tx>
          <c:spPr>
            <a:pattFill prst="wd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Sc1'!$C$78:$D$78</c:f>
              <c:numCache>
                <c:formatCode>General</c:formatCode>
                <c:ptCount val="2"/>
                <c:pt idx="0" formatCode="#,##0">
                  <c:v>0</c:v>
                </c:pt>
              </c:numCache>
            </c:numRef>
          </c:val>
          <c:extLst>
            <c:ext xmlns:c16="http://schemas.microsoft.com/office/drawing/2014/chart" uri="{C3380CC4-5D6E-409C-BE32-E72D297353CC}">
              <c16:uniqueId val="{0000000F-6B6C-4210-92C1-C0FFFF69F828}"/>
            </c:ext>
          </c:extLst>
        </c:ser>
        <c:ser>
          <c:idx val="16"/>
          <c:order val="16"/>
          <c:tx>
            <c:strRef>
              <c:f>'LCA Sc1'!$B$79</c:f>
              <c:strCache>
                <c:ptCount val="1"/>
              </c:strCache>
            </c:strRef>
          </c:tx>
          <c:spPr>
            <a:pattFill prst="wdUpDiag">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Sc1'!$C$62:$D$62</c:f>
              <c:strCache>
                <c:ptCount val="2"/>
                <c:pt idx="0">
                  <c:v>Recycled waste</c:v>
                </c:pt>
                <c:pt idx="1">
                  <c:v>Net</c:v>
                </c:pt>
              </c:strCache>
            </c:strRef>
          </c:cat>
          <c:val>
            <c:numRef>
              <c:f>'LCA Sc1'!$C$79:$D$79</c:f>
              <c:numCache>
                <c:formatCode>General</c:formatCode>
                <c:ptCount val="2"/>
              </c:numCache>
            </c:numRef>
          </c:val>
          <c:extLst>
            <c:ext xmlns:c16="http://schemas.microsoft.com/office/drawing/2014/chart" uri="{C3380CC4-5D6E-409C-BE32-E72D297353CC}">
              <c16:uniqueId val="{00000010-6B6C-4210-92C1-C0FFFF69F828}"/>
            </c:ext>
          </c:extLst>
        </c:ser>
        <c:ser>
          <c:idx val="17"/>
          <c:order val="17"/>
          <c:tx>
            <c:strRef>
              <c:f>'LCA Sc1'!$B$80</c:f>
              <c:strCache>
                <c:ptCount val="1"/>
                <c:pt idx="0">
                  <c:v>Credits</c:v>
                </c:pt>
              </c:strCache>
            </c:strRef>
          </c:tx>
          <c:spPr>
            <a:noFill/>
            <a:ln w="25400">
              <a:noFill/>
            </a:ln>
          </c:spPr>
          <c:invertIfNegative val="0"/>
          <c:cat>
            <c:strRef>
              <c:f>'LCA Sc1'!$C$62:$D$62</c:f>
              <c:strCache>
                <c:ptCount val="2"/>
                <c:pt idx="0">
                  <c:v>Recycled waste</c:v>
                </c:pt>
                <c:pt idx="1">
                  <c:v>Net</c:v>
                </c:pt>
              </c:strCache>
            </c:strRef>
          </c:cat>
          <c:val>
            <c:numRef>
              <c:f>'LCA Sc1'!$C$80:$D$80</c:f>
              <c:numCache>
                <c:formatCode>#,##0</c:formatCode>
                <c:ptCount val="2"/>
              </c:numCache>
            </c:numRef>
          </c:val>
          <c:extLst>
            <c:ext xmlns:c16="http://schemas.microsoft.com/office/drawing/2014/chart" uri="{C3380CC4-5D6E-409C-BE32-E72D297353CC}">
              <c16:uniqueId val="{00000011-6B6C-4210-92C1-C0FFFF69F828}"/>
            </c:ext>
          </c:extLst>
        </c:ser>
        <c:ser>
          <c:idx val="18"/>
          <c:order val="18"/>
          <c:tx>
            <c:strRef>
              <c:f>'LCA Sc1'!$B$81</c:f>
              <c:strCache>
                <c:ptCount val="1"/>
                <c:pt idx="0">
                  <c:v>Net</c:v>
                </c:pt>
              </c:strCache>
            </c:strRef>
          </c:tx>
          <c:spPr>
            <a:solidFill>
              <a:srgbClr val="0000FF"/>
            </a:solidFill>
            <a:ln w="12700">
              <a:solidFill>
                <a:srgbClr val="000000"/>
              </a:solidFill>
              <a:prstDash val="solid"/>
            </a:ln>
          </c:spPr>
          <c:invertIfNegative val="0"/>
          <c:cat>
            <c:strRef>
              <c:f>'LCA Sc1'!$C$62:$D$62</c:f>
              <c:strCache>
                <c:ptCount val="2"/>
                <c:pt idx="0">
                  <c:v>Recycled waste</c:v>
                </c:pt>
                <c:pt idx="1">
                  <c:v>Net</c:v>
                </c:pt>
              </c:strCache>
            </c:strRef>
          </c:cat>
          <c:val>
            <c:numRef>
              <c:f>'LCA Sc1'!$C$81:$D$81</c:f>
              <c:numCache>
                <c:formatCode>#,##0</c:formatCode>
                <c:ptCount val="2"/>
                <c:pt idx="1">
                  <c:v>0</c:v>
                </c:pt>
              </c:numCache>
            </c:numRef>
          </c:val>
          <c:extLst>
            <c:ext xmlns:c16="http://schemas.microsoft.com/office/drawing/2014/chart" uri="{C3380CC4-5D6E-409C-BE32-E72D297353CC}">
              <c16:uniqueId val="{00000012-6B6C-4210-92C1-C0FFFF69F828}"/>
            </c:ext>
          </c:extLst>
        </c:ser>
        <c:dLbls>
          <c:showLegendKey val="0"/>
          <c:showVal val="0"/>
          <c:showCatName val="0"/>
          <c:showSerName val="0"/>
          <c:showPercent val="0"/>
          <c:showBubbleSize val="0"/>
        </c:dLbls>
        <c:gapWidth val="100"/>
        <c:overlap val="100"/>
        <c:axId val="563018024"/>
        <c:axId val="1"/>
      </c:barChart>
      <c:catAx>
        <c:axId val="5630180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de-DE"/>
                  <a:t>tonne CO2e/yr</a:t>
                </a:r>
              </a:p>
            </c:rich>
          </c:tx>
          <c:layout>
            <c:manualLayout>
              <c:xMode val="edge"/>
              <c:yMode val="edge"/>
              <c:x val="3.5377399231416785E-2"/>
              <c:y val="0.348973607038123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3018024"/>
        <c:crosses val="autoZero"/>
        <c:crossBetween val="between"/>
      </c:valAx>
      <c:spPr>
        <a:noFill/>
        <a:ln w="12700">
          <a:solidFill>
            <a:srgbClr val="808080"/>
          </a:solidFill>
          <a:prstDash val="solid"/>
        </a:ln>
      </c:spPr>
    </c:plotArea>
    <c:legend>
      <c:legendPos val="r"/>
      <c:legendEntry>
        <c:idx val="0"/>
        <c:txPr>
          <a:bodyPr/>
          <a:lstStyle/>
          <a:p>
            <a:pPr>
              <a:defRPr sz="755" b="1" i="0" u="none" strike="noStrike" baseline="0">
                <a:solidFill>
                  <a:srgbClr val="000000"/>
                </a:solidFill>
                <a:latin typeface="Arial"/>
                <a:ea typeface="Arial"/>
                <a:cs typeface="Arial"/>
              </a:defRPr>
            </a:pPr>
            <a:endParaRPr lang="de-DE"/>
          </a:p>
        </c:txPr>
      </c:legendEntry>
      <c:legendEntry>
        <c:idx val="1"/>
        <c:txPr>
          <a:bodyPr/>
          <a:lstStyle/>
          <a:p>
            <a:pPr>
              <a:defRPr sz="755" b="1" i="0" u="none" strike="noStrike" baseline="0">
                <a:solidFill>
                  <a:srgbClr val="000000"/>
                </a:solidFill>
                <a:latin typeface="Arial"/>
                <a:ea typeface="Arial"/>
                <a:cs typeface="Arial"/>
              </a:defRPr>
            </a:pPr>
            <a:endParaRPr lang="de-DE"/>
          </a:p>
        </c:txPr>
      </c:legendEntry>
      <c:legendEntry>
        <c:idx val="2"/>
        <c:delete val="1"/>
      </c:legendEntry>
      <c:legendEntry>
        <c:idx val="4"/>
        <c:txPr>
          <a:bodyPr/>
          <a:lstStyle/>
          <a:p>
            <a:pPr>
              <a:defRPr sz="755" b="0" i="0" u="none" strike="noStrike" baseline="0">
                <a:solidFill>
                  <a:srgbClr val="000000"/>
                </a:solidFill>
                <a:latin typeface="Arial"/>
                <a:ea typeface="Arial"/>
                <a:cs typeface="Arial"/>
              </a:defRPr>
            </a:pPr>
            <a:endParaRPr lang="de-DE"/>
          </a:p>
        </c:txPr>
      </c:legendEntry>
      <c:legendEntry>
        <c:idx val="5"/>
        <c:txPr>
          <a:bodyPr/>
          <a:lstStyle/>
          <a:p>
            <a:pPr>
              <a:defRPr sz="755" b="0" i="0" u="none" strike="noStrike" baseline="0">
                <a:solidFill>
                  <a:srgbClr val="000000"/>
                </a:solidFill>
                <a:latin typeface="Arial"/>
                <a:ea typeface="Arial"/>
                <a:cs typeface="Arial"/>
              </a:defRPr>
            </a:pPr>
            <a:endParaRPr lang="de-DE"/>
          </a:p>
        </c:txPr>
      </c:legendEntry>
      <c:legendEntry>
        <c:idx val="6"/>
        <c:txPr>
          <a:bodyPr/>
          <a:lstStyle/>
          <a:p>
            <a:pPr>
              <a:defRPr sz="755" b="0" i="0" u="none" strike="noStrike" baseline="0">
                <a:solidFill>
                  <a:srgbClr val="000000"/>
                </a:solidFill>
                <a:latin typeface="Arial"/>
                <a:ea typeface="Arial"/>
                <a:cs typeface="Arial"/>
              </a:defRPr>
            </a:pPr>
            <a:endParaRPr lang="de-DE"/>
          </a:p>
        </c:txPr>
      </c:legendEntry>
      <c:legendEntry>
        <c:idx val="7"/>
        <c:txPr>
          <a:bodyPr/>
          <a:lstStyle/>
          <a:p>
            <a:pPr>
              <a:defRPr sz="755" b="0" i="0" u="none" strike="noStrike" baseline="0">
                <a:solidFill>
                  <a:srgbClr val="000000"/>
                </a:solidFill>
                <a:latin typeface="Arial"/>
                <a:ea typeface="Arial"/>
                <a:cs typeface="Arial"/>
              </a:defRPr>
            </a:pPr>
            <a:endParaRPr lang="de-DE"/>
          </a:p>
        </c:txPr>
      </c:legendEntry>
      <c:legendEntry>
        <c:idx val="9"/>
        <c:txPr>
          <a:bodyPr/>
          <a:lstStyle/>
          <a:p>
            <a:pPr>
              <a:defRPr sz="755" b="0" i="0" u="none" strike="noStrike" baseline="0">
                <a:solidFill>
                  <a:srgbClr val="000000"/>
                </a:solidFill>
                <a:latin typeface="Arial"/>
                <a:ea typeface="Arial"/>
                <a:cs typeface="Arial"/>
              </a:defRPr>
            </a:pPr>
            <a:endParaRPr lang="de-DE"/>
          </a:p>
        </c:txPr>
      </c:legendEntry>
      <c:legendEntry>
        <c:idx val="10"/>
        <c:txPr>
          <a:bodyPr/>
          <a:lstStyle/>
          <a:p>
            <a:pPr>
              <a:defRPr sz="755" b="1" i="0" u="none" strike="noStrike" baseline="0">
                <a:solidFill>
                  <a:srgbClr val="000000"/>
                </a:solidFill>
                <a:latin typeface="Arial"/>
                <a:ea typeface="Arial"/>
                <a:cs typeface="Arial"/>
              </a:defRPr>
            </a:pPr>
            <a:endParaRPr lang="de-DE"/>
          </a:p>
        </c:txPr>
      </c:legendEntry>
      <c:legendEntry>
        <c:idx val="11"/>
        <c:delete val="1"/>
      </c:legendEntry>
      <c:legendEntry>
        <c:idx val="12"/>
        <c:txPr>
          <a:bodyPr/>
          <a:lstStyle/>
          <a:p>
            <a:pPr>
              <a:defRPr sz="755" b="0" i="0" u="none" strike="noStrike" baseline="0">
                <a:solidFill>
                  <a:srgbClr val="000000"/>
                </a:solidFill>
                <a:latin typeface="Arial"/>
                <a:ea typeface="Arial"/>
                <a:cs typeface="Arial"/>
              </a:defRPr>
            </a:pPr>
            <a:endParaRPr lang="de-DE"/>
          </a:p>
        </c:txPr>
      </c:legendEntry>
      <c:legendEntry>
        <c:idx val="13"/>
        <c:txPr>
          <a:bodyPr/>
          <a:lstStyle/>
          <a:p>
            <a:pPr>
              <a:defRPr sz="755" b="0" i="0" u="none" strike="noStrike" baseline="0">
                <a:solidFill>
                  <a:srgbClr val="000000"/>
                </a:solidFill>
                <a:latin typeface="Arial"/>
                <a:ea typeface="Arial"/>
                <a:cs typeface="Arial"/>
              </a:defRPr>
            </a:pPr>
            <a:endParaRPr lang="de-DE"/>
          </a:p>
        </c:txPr>
      </c:legendEntry>
      <c:layout>
        <c:manualLayout>
          <c:xMode val="edge"/>
          <c:yMode val="edge"/>
          <c:x val="0.67452907867901346"/>
          <c:y val="1.466275659824047E-2"/>
          <c:w val="0.31367960651856219"/>
          <c:h val="0.9765395894428152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GHG emissions</a:t>
            </a:r>
          </a:p>
        </c:rich>
      </c:tx>
      <c:layout>
        <c:manualLayout>
          <c:xMode val="edge"/>
          <c:yMode val="edge"/>
          <c:x val="0.40000078914297099"/>
          <c:y val="1.358695652173913E-2"/>
        </c:manualLayout>
      </c:layout>
      <c:overlay val="0"/>
      <c:spPr>
        <a:noFill/>
        <a:ln w="25400">
          <a:noFill/>
        </a:ln>
      </c:spPr>
    </c:title>
    <c:autoTitleDeleted val="0"/>
    <c:plotArea>
      <c:layout>
        <c:manualLayout>
          <c:layoutTarget val="inner"/>
          <c:xMode val="edge"/>
          <c:yMode val="edge"/>
          <c:x val="0.18585895253107743"/>
          <c:y val="8.9673913043478257E-2"/>
          <c:w val="0.78181972423398882"/>
          <c:h val="0.79619565217391308"/>
        </c:manualLayout>
      </c:layout>
      <c:barChart>
        <c:barDir val="col"/>
        <c:grouping val="clustered"/>
        <c:varyColors val="0"/>
        <c:ser>
          <c:idx val="0"/>
          <c:order val="0"/>
          <c:tx>
            <c:strRef>
              <c:f>'LCA Sc1'!$G$54</c:f>
              <c:strCache>
                <c:ptCount val="1"/>
                <c:pt idx="0">
                  <c:v> Debits</c:v>
                </c:pt>
              </c:strCache>
            </c:strRef>
          </c:tx>
          <c:spPr>
            <a:solidFill>
              <a:srgbClr val="FFCC99"/>
            </a:solidFill>
            <a:ln w="12700">
              <a:solidFill>
                <a:srgbClr val="000000"/>
              </a:solidFill>
              <a:prstDash val="solid"/>
            </a:ln>
          </c:spPr>
          <c:invertIfNegative val="0"/>
          <c:cat>
            <c:strRef>
              <c:f>'LCA Sc1'!$H$53:$J$53</c:f>
              <c:strCache>
                <c:ptCount val="3"/>
                <c:pt idx="0">
                  <c:v>Recycled waste</c:v>
                </c:pt>
                <c:pt idx="1">
                  <c:v>Disposed of waste</c:v>
                </c:pt>
                <c:pt idx="2">
                  <c:v>Total MSW</c:v>
                </c:pt>
              </c:strCache>
            </c:strRef>
          </c:cat>
          <c:val>
            <c:numRef>
              <c:f>'LCA Sc1'!$H$54:$J$54</c:f>
              <c:numCache>
                <c:formatCode>#,##0</c:formatCode>
                <c:ptCount val="3"/>
                <c:pt idx="0">
                  <c:v>0</c:v>
                </c:pt>
                <c:pt idx="1">
                  <c:v>0</c:v>
                </c:pt>
                <c:pt idx="2">
                  <c:v>0</c:v>
                </c:pt>
              </c:numCache>
            </c:numRef>
          </c:val>
          <c:extLst>
            <c:ext xmlns:c16="http://schemas.microsoft.com/office/drawing/2014/chart" uri="{C3380CC4-5D6E-409C-BE32-E72D297353CC}">
              <c16:uniqueId val="{00000000-0209-44E4-A928-61733871D0FC}"/>
            </c:ext>
          </c:extLst>
        </c:ser>
        <c:ser>
          <c:idx val="1"/>
          <c:order val="1"/>
          <c:tx>
            <c:strRef>
              <c:f>'LCA Sc1'!$G$55</c:f>
              <c:strCache>
                <c:ptCount val="1"/>
                <c:pt idx="0">
                  <c:v> Credits</c:v>
                </c:pt>
              </c:strCache>
            </c:strRef>
          </c:tx>
          <c:spPr>
            <a:pattFill prst="wdUpDiag">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800080" mc:Ignorable="a14" a14:legacySpreadsheetColorIndex="20"/>
              </a:bgClr>
            </a:pattFill>
            <a:ln w="12700">
              <a:solidFill>
                <a:srgbClr val="000000"/>
              </a:solidFill>
              <a:prstDash val="solid"/>
            </a:ln>
          </c:spPr>
          <c:invertIfNegative val="0"/>
          <c:cat>
            <c:strRef>
              <c:f>'LCA Sc1'!$H$53:$J$53</c:f>
              <c:strCache>
                <c:ptCount val="3"/>
                <c:pt idx="0">
                  <c:v>Recycled waste</c:v>
                </c:pt>
                <c:pt idx="1">
                  <c:v>Disposed of waste</c:v>
                </c:pt>
                <c:pt idx="2">
                  <c:v>Total MSW</c:v>
                </c:pt>
              </c:strCache>
            </c:strRef>
          </c:cat>
          <c:val>
            <c:numRef>
              <c:f>'LCA Sc1'!$H$55:$J$55</c:f>
              <c:numCache>
                <c:formatCode>#,##0</c:formatCode>
                <c:ptCount val="3"/>
                <c:pt idx="0">
                  <c:v>0</c:v>
                </c:pt>
                <c:pt idx="1">
                  <c:v>0</c:v>
                </c:pt>
                <c:pt idx="2">
                  <c:v>0</c:v>
                </c:pt>
              </c:numCache>
            </c:numRef>
          </c:val>
          <c:extLst>
            <c:ext xmlns:c16="http://schemas.microsoft.com/office/drawing/2014/chart" uri="{C3380CC4-5D6E-409C-BE32-E72D297353CC}">
              <c16:uniqueId val="{00000001-0209-44E4-A928-61733871D0FC}"/>
            </c:ext>
          </c:extLst>
        </c:ser>
        <c:ser>
          <c:idx val="2"/>
          <c:order val="2"/>
          <c:tx>
            <c:strRef>
              <c:f>'LCA Sc1'!$G$56</c:f>
              <c:strCache>
                <c:ptCount val="1"/>
                <c:pt idx="0">
                  <c:v> Net</c:v>
                </c:pt>
              </c:strCache>
            </c:strRef>
          </c:tx>
          <c:spPr>
            <a:solidFill>
              <a:srgbClr val="0000FF"/>
            </a:solidFill>
            <a:ln w="12700">
              <a:solidFill>
                <a:srgbClr val="000000"/>
              </a:solidFill>
              <a:prstDash val="solid"/>
            </a:ln>
          </c:spPr>
          <c:invertIfNegative val="0"/>
          <c:cat>
            <c:strRef>
              <c:f>'LCA Sc1'!$H$53:$J$53</c:f>
              <c:strCache>
                <c:ptCount val="3"/>
                <c:pt idx="0">
                  <c:v>Recycled waste</c:v>
                </c:pt>
                <c:pt idx="1">
                  <c:v>Disposed of waste</c:v>
                </c:pt>
                <c:pt idx="2">
                  <c:v>Total MSW</c:v>
                </c:pt>
              </c:strCache>
            </c:strRef>
          </c:cat>
          <c:val>
            <c:numRef>
              <c:f>'LCA Sc1'!$H$56:$J$56</c:f>
              <c:numCache>
                <c:formatCode>#,##0</c:formatCode>
                <c:ptCount val="3"/>
                <c:pt idx="0">
                  <c:v>0</c:v>
                </c:pt>
                <c:pt idx="1">
                  <c:v>0</c:v>
                </c:pt>
                <c:pt idx="2">
                  <c:v>0</c:v>
                </c:pt>
              </c:numCache>
            </c:numRef>
          </c:val>
          <c:extLst>
            <c:ext xmlns:c16="http://schemas.microsoft.com/office/drawing/2014/chart" uri="{C3380CC4-5D6E-409C-BE32-E72D297353CC}">
              <c16:uniqueId val="{00000002-0209-44E4-A928-61733871D0FC}"/>
            </c:ext>
          </c:extLst>
        </c:ser>
        <c:dLbls>
          <c:showLegendKey val="0"/>
          <c:showVal val="0"/>
          <c:showCatName val="0"/>
          <c:showSerName val="0"/>
          <c:showPercent val="0"/>
          <c:showBubbleSize val="0"/>
        </c:dLbls>
        <c:gapWidth val="100"/>
        <c:axId val="562391936"/>
        <c:axId val="1"/>
      </c:barChart>
      <c:catAx>
        <c:axId val="562391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5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de-DE"/>
                  <a:t>tonne CO2e/yr</a:t>
                </a:r>
              </a:p>
            </c:rich>
          </c:tx>
          <c:layout>
            <c:manualLayout>
              <c:xMode val="edge"/>
              <c:yMode val="edge"/>
              <c:x val="1.0101030028862904E-2"/>
              <c:y val="0.3369565217391304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62391936"/>
        <c:crosses val="autoZero"/>
        <c:crossBetween val="between"/>
      </c:valAx>
      <c:spPr>
        <a:noFill/>
        <a:ln w="3175">
          <a:solidFill>
            <a:srgbClr val="000000"/>
          </a:solidFill>
          <a:prstDash val="solid"/>
        </a:ln>
      </c:spPr>
    </c:plotArea>
    <c:legend>
      <c:legendPos val="r"/>
      <c:layout>
        <c:manualLayout>
          <c:xMode val="edge"/>
          <c:yMode val="edge"/>
          <c:x val="0.22199828146693304"/>
          <c:y val="0.10869561005287623"/>
          <c:w val="0.19595998255994035"/>
          <c:h val="0.1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de-DE"/>
              <a:t>GHG emissions - disposal</a:t>
            </a:r>
          </a:p>
        </c:rich>
      </c:tx>
      <c:layout>
        <c:manualLayout>
          <c:xMode val="edge"/>
          <c:yMode val="edge"/>
          <c:x val="0.28634392030036859"/>
          <c:y val="1.3927576601671309E-2"/>
        </c:manualLayout>
      </c:layout>
      <c:overlay val="0"/>
      <c:spPr>
        <a:noFill/>
        <a:ln w="25400">
          <a:noFill/>
        </a:ln>
      </c:spPr>
    </c:title>
    <c:autoTitleDeleted val="0"/>
    <c:plotArea>
      <c:layout>
        <c:manualLayout>
          <c:layoutTarget val="inner"/>
          <c:xMode val="edge"/>
          <c:yMode val="edge"/>
          <c:x val="0.2136566174548904"/>
          <c:y val="0.10863509749303621"/>
          <c:w val="0.50440582883680307"/>
          <c:h val="0.77158774373259054"/>
        </c:manualLayout>
      </c:layout>
      <c:barChart>
        <c:barDir val="col"/>
        <c:grouping val="stacked"/>
        <c:varyColors val="0"/>
        <c:ser>
          <c:idx val="0"/>
          <c:order val="0"/>
          <c:tx>
            <c:strRef>
              <c:f>'LCA Sc1'!$K$63</c:f>
              <c:strCache>
                <c:ptCount val="1"/>
                <c:pt idx="0">
                  <c:v>Scattered</c:v>
                </c:pt>
              </c:strCache>
            </c:strRef>
          </c:tx>
          <c:spPr>
            <a:solidFill>
              <a:srgbClr val="FFFFFF"/>
            </a:solidFill>
            <a:ln w="12700">
              <a:solidFill>
                <a:srgbClr val="000000"/>
              </a:solidFill>
              <a:prstDash val="solid"/>
            </a:ln>
          </c:spPr>
          <c:invertIfNegative val="0"/>
          <c:cat>
            <c:strRef>
              <c:f>'LCA Sc1'!$L$62:$M$62</c:f>
              <c:strCache>
                <c:ptCount val="2"/>
                <c:pt idx="0">
                  <c:v>Disposed of waste</c:v>
                </c:pt>
                <c:pt idx="1">
                  <c:v>Net</c:v>
                </c:pt>
              </c:strCache>
            </c:strRef>
          </c:cat>
          <c:val>
            <c:numRef>
              <c:f>'LCA Sc1'!$L$63:$M$63</c:f>
              <c:numCache>
                <c:formatCode>General</c:formatCode>
                <c:ptCount val="2"/>
                <c:pt idx="0" formatCode="#,##0">
                  <c:v>0</c:v>
                </c:pt>
              </c:numCache>
            </c:numRef>
          </c:val>
          <c:extLst>
            <c:ext xmlns:c16="http://schemas.microsoft.com/office/drawing/2014/chart" uri="{C3380CC4-5D6E-409C-BE32-E72D297353CC}">
              <c16:uniqueId val="{00000000-373D-4588-88C5-06F06F984325}"/>
            </c:ext>
          </c:extLst>
        </c:ser>
        <c:ser>
          <c:idx val="1"/>
          <c:order val="1"/>
          <c:tx>
            <c:strRef>
              <c:f>'LCA Sc1'!$K$64</c:f>
              <c:strCache>
                <c:ptCount val="1"/>
                <c:pt idx="0">
                  <c:v>Burned-open</c:v>
                </c:pt>
              </c:strCache>
            </c:strRef>
          </c:tx>
          <c:spPr>
            <a:solidFill>
              <a:srgbClr val="FF8080"/>
            </a:solidFill>
            <a:ln w="12700">
              <a:solidFill>
                <a:srgbClr val="000000"/>
              </a:solidFill>
              <a:prstDash val="solid"/>
            </a:ln>
          </c:spPr>
          <c:invertIfNegative val="0"/>
          <c:cat>
            <c:strRef>
              <c:f>'LCA Sc1'!$L$62:$M$62</c:f>
              <c:strCache>
                <c:ptCount val="2"/>
                <c:pt idx="0">
                  <c:v>Disposed of waste</c:v>
                </c:pt>
                <c:pt idx="1">
                  <c:v>Net</c:v>
                </c:pt>
              </c:strCache>
            </c:strRef>
          </c:cat>
          <c:val>
            <c:numRef>
              <c:f>'LCA Sc1'!$L$64:$M$64</c:f>
              <c:numCache>
                <c:formatCode>General</c:formatCode>
                <c:ptCount val="2"/>
                <c:pt idx="0" formatCode="#,##0">
                  <c:v>0</c:v>
                </c:pt>
              </c:numCache>
            </c:numRef>
          </c:val>
          <c:extLst>
            <c:ext xmlns:c16="http://schemas.microsoft.com/office/drawing/2014/chart" uri="{C3380CC4-5D6E-409C-BE32-E72D297353CC}">
              <c16:uniqueId val="{00000001-373D-4588-88C5-06F06F984325}"/>
            </c:ext>
          </c:extLst>
        </c:ser>
        <c:ser>
          <c:idx val="2"/>
          <c:order val="2"/>
          <c:tx>
            <c:strRef>
              <c:f>'LCA Sc1'!$K$65</c:f>
              <c:strCache>
                <c:ptCount val="1"/>
                <c:pt idx="0">
                  <c:v>Wild dump</c:v>
                </c:pt>
              </c:strCache>
            </c:strRef>
          </c:tx>
          <c:spPr>
            <a:solidFill>
              <a:srgbClr val="993300"/>
            </a:solidFill>
            <a:ln w="12700">
              <a:solidFill>
                <a:srgbClr val="000000"/>
              </a:solidFill>
              <a:prstDash val="solid"/>
            </a:ln>
          </c:spPr>
          <c:invertIfNegative val="0"/>
          <c:cat>
            <c:strRef>
              <c:f>'LCA Sc1'!$L$62:$M$62</c:f>
              <c:strCache>
                <c:ptCount val="2"/>
                <c:pt idx="0">
                  <c:v>Disposed of waste</c:v>
                </c:pt>
                <c:pt idx="1">
                  <c:v>Net</c:v>
                </c:pt>
              </c:strCache>
            </c:strRef>
          </c:cat>
          <c:val>
            <c:numRef>
              <c:f>'LCA Sc1'!$L$65:$M$65</c:f>
              <c:numCache>
                <c:formatCode>General</c:formatCode>
                <c:ptCount val="2"/>
                <c:pt idx="0" formatCode="#,##0">
                  <c:v>0</c:v>
                </c:pt>
              </c:numCache>
            </c:numRef>
          </c:val>
          <c:extLst>
            <c:ext xmlns:c16="http://schemas.microsoft.com/office/drawing/2014/chart" uri="{C3380CC4-5D6E-409C-BE32-E72D297353CC}">
              <c16:uniqueId val="{00000002-373D-4588-88C5-06F06F984325}"/>
            </c:ext>
          </c:extLst>
        </c:ser>
        <c:ser>
          <c:idx val="3"/>
          <c:order val="3"/>
          <c:tx>
            <c:strRef>
              <c:f>'LCA Sc1'!$K$66</c:f>
              <c:strCache>
                <c:ptCount val="1"/>
                <c:pt idx="0">
                  <c:v>Controlled landfill</c:v>
                </c:pt>
              </c:strCache>
            </c:strRef>
          </c:tx>
          <c:spPr>
            <a:solidFill>
              <a:srgbClr val="99CC00"/>
            </a:solidFill>
            <a:ln w="12700">
              <a:solidFill>
                <a:srgbClr val="000000"/>
              </a:solidFill>
              <a:prstDash val="solid"/>
            </a:ln>
          </c:spPr>
          <c:invertIfNegative val="0"/>
          <c:cat>
            <c:strRef>
              <c:f>'LCA Sc1'!$L$62:$M$62</c:f>
              <c:strCache>
                <c:ptCount val="2"/>
                <c:pt idx="0">
                  <c:v>Disposed of waste</c:v>
                </c:pt>
                <c:pt idx="1">
                  <c:v>Net</c:v>
                </c:pt>
              </c:strCache>
            </c:strRef>
          </c:cat>
          <c:val>
            <c:numRef>
              <c:f>'LCA Sc1'!$L$66:$M$66</c:f>
              <c:numCache>
                <c:formatCode>General</c:formatCode>
                <c:ptCount val="2"/>
                <c:pt idx="0" formatCode="#,##0">
                  <c:v>0</c:v>
                </c:pt>
              </c:numCache>
            </c:numRef>
          </c:val>
          <c:extLst>
            <c:ext xmlns:c16="http://schemas.microsoft.com/office/drawing/2014/chart" uri="{C3380CC4-5D6E-409C-BE32-E72D297353CC}">
              <c16:uniqueId val="{00000003-373D-4588-88C5-06F06F984325}"/>
            </c:ext>
          </c:extLst>
        </c:ser>
        <c:ser>
          <c:idx val="4"/>
          <c:order val="4"/>
          <c:tx>
            <c:strRef>
              <c:f>'LCA Sc1'!$K$67</c:f>
              <c:strCache>
                <c:ptCount val="1"/>
                <c:pt idx="0">
                  <c:v>Sanitary landfill</c:v>
                </c:pt>
              </c:strCache>
            </c:strRef>
          </c:tx>
          <c:spPr>
            <a:solidFill>
              <a:srgbClr val="FFFF00"/>
            </a:solidFill>
            <a:ln w="12700">
              <a:solidFill>
                <a:srgbClr val="000000"/>
              </a:solidFill>
              <a:prstDash val="solid"/>
            </a:ln>
          </c:spPr>
          <c:invertIfNegative val="0"/>
          <c:cat>
            <c:strRef>
              <c:f>'LCA Sc1'!$L$62:$M$62</c:f>
              <c:strCache>
                <c:ptCount val="2"/>
                <c:pt idx="0">
                  <c:v>Disposed of waste</c:v>
                </c:pt>
                <c:pt idx="1">
                  <c:v>Net</c:v>
                </c:pt>
              </c:strCache>
            </c:strRef>
          </c:cat>
          <c:val>
            <c:numRef>
              <c:f>'LCA Sc1'!$L$67:$M$67</c:f>
              <c:numCache>
                <c:formatCode>General</c:formatCode>
                <c:ptCount val="2"/>
                <c:pt idx="0" formatCode="#,##0">
                  <c:v>0</c:v>
                </c:pt>
              </c:numCache>
            </c:numRef>
          </c:val>
          <c:extLst>
            <c:ext xmlns:c16="http://schemas.microsoft.com/office/drawing/2014/chart" uri="{C3380CC4-5D6E-409C-BE32-E72D297353CC}">
              <c16:uniqueId val="{00000004-373D-4588-88C5-06F06F984325}"/>
            </c:ext>
          </c:extLst>
        </c:ser>
        <c:ser>
          <c:idx val="5"/>
          <c:order val="5"/>
          <c:tx>
            <c:strRef>
              <c:f>'LCA Sc1'!$K$68</c:f>
              <c:strCache>
                <c:ptCount val="1"/>
                <c:pt idx="0">
                  <c:v>BS/landfill</c:v>
                </c:pt>
              </c:strCache>
            </c:strRef>
          </c:tx>
          <c:spPr>
            <a:solidFill>
              <a:srgbClr val="FF00FF"/>
            </a:solidFill>
            <a:ln w="12700">
              <a:solidFill>
                <a:srgbClr val="000000"/>
              </a:solidFill>
              <a:prstDash val="solid"/>
            </a:ln>
          </c:spPr>
          <c:invertIfNegative val="0"/>
          <c:cat>
            <c:strRef>
              <c:f>'LCA Sc1'!$L$62:$M$62</c:f>
              <c:strCache>
                <c:ptCount val="2"/>
                <c:pt idx="0">
                  <c:v>Disposed of waste</c:v>
                </c:pt>
                <c:pt idx="1">
                  <c:v>Net</c:v>
                </c:pt>
              </c:strCache>
            </c:strRef>
          </c:cat>
          <c:val>
            <c:numRef>
              <c:f>'LCA Sc1'!$L$68:$M$68</c:f>
              <c:numCache>
                <c:formatCode>General</c:formatCode>
                <c:ptCount val="2"/>
                <c:pt idx="0" formatCode="#,##0">
                  <c:v>0</c:v>
                </c:pt>
              </c:numCache>
            </c:numRef>
          </c:val>
          <c:extLst>
            <c:ext xmlns:c16="http://schemas.microsoft.com/office/drawing/2014/chart" uri="{C3380CC4-5D6E-409C-BE32-E72D297353CC}">
              <c16:uniqueId val="{00000005-373D-4588-88C5-06F06F984325}"/>
            </c:ext>
          </c:extLst>
        </c:ser>
        <c:ser>
          <c:idx val="6"/>
          <c:order val="6"/>
          <c:tx>
            <c:strRef>
              <c:f>'LCA Sc1'!$K$69</c:f>
              <c:strCache>
                <c:ptCount val="1"/>
                <c:pt idx="0">
                  <c:v>MBTaerobic/treatm</c:v>
                </c:pt>
              </c:strCache>
            </c:strRef>
          </c:tx>
          <c:spPr>
            <a:solidFill>
              <a:srgbClr val="008080"/>
            </a:solidFill>
            <a:ln w="12700">
              <a:solidFill>
                <a:srgbClr val="000000"/>
              </a:solidFill>
              <a:prstDash val="solid"/>
            </a:ln>
          </c:spPr>
          <c:invertIfNegative val="0"/>
          <c:cat>
            <c:strRef>
              <c:f>'LCA Sc1'!$L$62:$M$62</c:f>
              <c:strCache>
                <c:ptCount val="2"/>
                <c:pt idx="0">
                  <c:v>Disposed of waste</c:v>
                </c:pt>
                <c:pt idx="1">
                  <c:v>Net</c:v>
                </c:pt>
              </c:strCache>
            </c:strRef>
          </c:cat>
          <c:val>
            <c:numRef>
              <c:f>'LCA Sc1'!$L$69:$M$69</c:f>
              <c:numCache>
                <c:formatCode>General</c:formatCode>
                <c:ptCount val="2"/>
                <c:pt idx="0" formatCode="#,##0">
                  <c:v>0</c:v>
                </c:pt>
              </c:numCache>
            </c:numRef>
          </c:val>
          <c:extLst>
            <c:ext xmlns:c16="http://schemas.microsoft.com/office/drawing/2014/chart" uri="{C3380CC4-5D6E-409C-BE32-E72D297353CC}">
              <c16:uniqueId val="{00000006-373D-4588-88C5-06F06F984325}"/>
            </c:ext>
          </c:extLst>
        </c:ser>
        <c:ser>
          <c:idx val="7"/>
          <c:order val="7"/>
          <c:tx>
            <c:strRef>
              <c:f>'LCA Sc1'!$K$70</c:f>
              <c:strCache>
                <c:ptCount val="1"/>
                <c:pt idx="0">
                  <c:v>MBTanaerobic/treatm</c:v>
                </c:pt>
              </c:strCache>
            </c:strRef>
          </c:tx>
          <c:spPr>
            <a:solidFill>
              <a:srgbClr val="00CCFF"/>
            </a:solidFill>
            <a:ln w="12700">
              <a:solidFill>
                <a:srgbClr val="000000"/>
              </a:solidFill>
              <a:prstDash val="solid"/>
            </a:ln>
          </c:spPr>
          <c:invertIfNegative val="0"/>
          <c:cat>
            <c:strRef>
              <c:f>'LCA Sc1'!$L$62:$M$62</c:f>
              <c:strCache>
                <c:ptCount val="2"/>
                <c:pt idx="0">
                  <c:v>Disposed of waste</c:v>
                </c:pt>
                <c:pt idx="1">
                  <c:v>Net</c:v>
                </c:pt>
              </c:strCache>
            </c:strRef>
          </c:cat>
          <c:val>
            <c:numRef>
              <c:f>'LCA Sc1'!$L$70:$M$70</c:f>
              <c:numCache>
                <c:formatCode>General</c:formatCode>
                <c:ptCount val="2"/>
                <c:pt idx="0" formatCode="#,##0">
                  <c:v>0</c:v>
                </c:pt>
              </c:numCache>
            </c:numRef>
          </c:val>
          <c:extLst>
            <c:ext xmlns:c16="http://schemas.microsoft.com/office/drawing/2014/chart" uri="{C3380CC4-5D6E-409C-BE32-E72D297353CC}">
              <c16:uniqueId val="{00000007-373D-4588-88C5-06F06F984325}"/>
            </c:ext>
          </c:extLst>
        </c:ser>
        <c:ser>
          <c:idx val="8"/>
          <c:order val="8"/>
          <c:tx>
            <c:strRef>
              <c:f>'LCA Sc1'!$K$71</c:f>
              <c:strCache>
                <c:ptCount val="1"/>
                <c:pt idx="0">
                  <c:v>MBS/treatm</c:v>
                </c:pt>
              </c:strCache>
            </c:strRef>
          </c:tx>
          <c:spPr>
            <a:solidFill>
              <a:srgbClr val="FF9900"/>
            </a:solidFill>
            <a:ln w="12700">
              <a:solidFill>
                <a:srgbClr val="000000"/>
              </a:solidFill>
              <a:prstDash val="solid"/>
            </a:ln>
          </c:spPr>
          <c:invertIfNegative val="0"/>
          <c:cat>
            <c:strRef>
              <c:f>'LCA Sc1'!$L$62:$M$62</c:f>
              <c:strCache>
                <c:ptCount val="2"/>
                <c:pt idx="0">
                  <c:v>Disposed of waste</c:v>
                </c:pt>
                <c:pt idx="1">
                  <c:v>Net</c:v>
                </c:pt>
              </c:strCache>
            </c:strRef>
          </c:cat>
          <c:val>
            <c:numRef>
              <c:f>'LCA Sc1'!$L$71:$M$71</c:f>
              <c:numCache>
                <c:formatCode>General</c:formatCode>
                <c:ptCount val="2"/>
                <c:pt idx="0" formatCode="#,##0">
                  <c:v>0</c:v>
                </c:pt>
              </c:numCache>
            </c:numRef>
          </c:val>
          <c:extLst>
            <c:ext xmlns:c16="http://schemas.microsoft.com/office/drawing/2014/chart" uri="{C3380CC4-5D6E-409C-BE32-E72D297353CC}">
              <c16:uniqueId val="{00000008-373D-4588-88C5-06F06F984325}"/>
            </c:ext>
          </c:extLst>
        </c:ser>
        <c:ser>
          <c:idx val="9"/>
          <c:order val="9"/>
          <c:tx>
            <c:strRef>
              <c:f>'LCA Sc1'!$K$72</c:f>
              <c:strCache>
                <c:ptCount val="1"/>
                <c:pt idx="0">
                  <c:v>Incineration</c:v>
                </c:pt>
              </c:strCache>
            </c:strRef>
          </c:tx>
          <c:spPr>
            <a:solidFill>
              <a:srgbClr val="CCCCFF"/>
            </a:solidFill>
            <a:ln w="12700">
              <a:solidFill>
                <a:srgbClr val="000000"/>
              </a:solidFill>
            </a:ln>
          </c:spPr>
          <c:invertIfNegative val="0"/>
          <c:cat>
            <c:strRef>
              <c:f>'LCA Sc1'!$L$62:$M$62</c:f>
              <c:strCache>
                <c:ptCount val="2"/>
                <c:pt idx="0">
                  <c:v>Disposed of waste</c:v>
                </c:pt>
                <c:pt idx="1">
                  <c:v>Net</c:v>
                </c:pt>
              </c:strCache>
            </c:strRef>
          </c:cat>
          <c:val>
            <c:numRef>
              <c:f>'LCA Sc1'!$L$72:$M$72</c:f>
              <c:numCache>
                <c:formatCode>General</c:formatCode>
                <c:ptCount val="2"/>
                <c:pt idx="0" formatCode="#,##0">
                  <c:v>0</c:v>
                </c:pt>
              </c:numCache>
            </c:numRef>
          </c:val>
          <c:extLst>
            <c:ext xmlns:c16="http://schemas.microsoft.com/office/drawing/2014/chart" uri="{C3380CC4-5D6E-409C-BE32-E72D297353CC}">
              <c16:uniqueId val="{00000009-373D-4588-88C5-06F06F984325}"/>
            </c:ext>
          </c:extLst>
        </c:ser>
        <c:ser>
          <c:idx val="10"/>
          <c:order val="10"/>
          <c:tx>
            <c:strRef>
              <c:f>'LCA Sc1'!$K$73</c:f>
              <c:strCache>
                <c:ptCount val="1"/>
                <c:pt idx="0">
                  <c:v>Debits</c:v>
                </c:pt>
              </c:strCache>
            </c:strRef>
          </c:tx>
          <c:spPr>
            <a:noFill/>
            <a:ln w="12700">
              <a:noFill/>
              <a:prstDash val="solid"/>
            </a:ln>
          </c:spPr>
          <c:invertIfNegative val="0"/>
          <c:cat>
            <c:strRef>
              <c:f>'LCA Sc1'!$L$62:$M$62</c:f>
              <c:strCache>
                <c:ptCount val="2"/>
                <c:pt idx="0">
                  <c:v>Disposed of waste</c:v>
                </c:pt>
                <c:pt idx="1">
                  <c:v>Net</c:v>
                </c:pt>
              </c:strCache>
            </c:strRef>
          </c:cat>
          <c:val>
            <c:numRef>
              <c:f>'LCA Sc1'!$L$73:$M$73</c:f>
              <c:numCache>
                <c:formatCode>General</c:formatCode>
                <c:ptCount val="2"/>
              </c:numCache>
            </c:numRef>
          </c:val>
          <c:extLst>
            <c:ext xmlns:c16="http://schemas.microsoft.com/office/drawing/2014/chart" uri="{C3380CC4-5D6E-409C-BE32-E72D297353CC}">
              <c16:uniqueId val="{0000000A-373D-4588-88C5-06F06F984325}"/>
            </c:ext>
          </c:extLst>
        </c:ser>
        <c:ser>
          <c:idx val="11"/>
          <c:order val="11"/>
          <c:tx>
            <c:strRef>
              <c:f>'LCA Sc1'!$K$74</c:f>
              <c:strCache>
                <c:ptCount val="1"/>
                <c:pt idx="0">
                  <c:v>Scattered</c:v>
                </c:pt>
              </c:strCache>
            </c:strRef>
          </c:tx>
          <c:spPr>
            <a:pattFill prst="wdUpDiag">
              <a:fgClr>
                <a:schemeClr val="tx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Sc1'!$L$74:$M$74</c:f>
              <c:numCache>
                <c:formatCode>General</c:formatCode>
                <c:ptCount val="2"/>
                <c:pt idx="0" formatCode="#,##0">
                  <c:v>0</c:v>
                </c:pt>
              </c:numCache>
            </c:numRef>
          </c:val>
          <c:extLst>
            <c:ext xmlns:c16="http://schemas.microsoft.com/office/drawing/2014/chart" uri="{C3380CC4-5D6E-409C-BE32-E72D297353CC}">
              <c16:uniqueId val="{0000000B-373D-4588-88C5-06F06F984325}"/>
            </c:ext>
          </c:extLst>
        </c:ser>
        <c:ser>
          <c:idx val="12"/>
          <c:order val="12"/>
          <c:tx>
            <c:strRef>
              <c:f>'LCA Sc1'!$K$75</c:f>
              <c:strCache>
                <c:ptCount val="1"/>
                <c:pt idx="0">
                  <c:v>Burned-open</c:v>
                </c:pt>
              </c:strCache>
            </c:strRef>
          </c:tx>
          <c:spPr>
            <a:pattFill prst="wdDnDiag">
              <a:fgClr>
                <a:srgbClr val="FF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Sc1'!$L$75:$M$75</c:f>
              <c:numCache>
                <c:formatCode>General</c:formatCode>
                <c:ptCount val="2"/>
                <c:pt idx="0" formatCode="#,##0">
                  <c:v>0</c:v>
                </c:pt>
              </c:numCache>
            </c:numRef>
          </c:val>
          <c:extLst>
            <c:ext xmlns:c16="http://schemas.microsoft.com/office/drawing/2014/chart" uri="{C3380CC4-5D6E-409C-BE32-E72D297353CC}">
              <c16:uniqueId val="{0000000C-373D-4588-88C5-06F06F984325}"/>
            </c:ext>
          </c:extLst>
        </c:ser>
        <c:ser>
          <c:idx val="13"/>
          <c:order val="13"/>
          <c:tx>
            <c:strRef>
              <c:f>'LCA Sc1'!$K$76</c:f>
              <c:strCache>
                <c:ptCount val="1"/>
                <c:pt idx="0">
                  <c:v>Wild dump</c:v>
                </c:pt>
              </c:strCache>
            </c:strRef>
          </c:tx>
          <c:spPr>
            <a:pattFill prst="wdUpDiag">
              <a:fgClr>
                <a:srgbClr val="9933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Sc1'!$L$76:$M$76</c:f>
              <c:numCache>
                <c:formatCode>General</c:formatCode>
                <c:ptCount val="2"/>
                <c:pt idx="0" formatCode="#,##0">
                  <c:v>0</c:v>
                </c:pt>
              </c:numCache>
            </c:numRef>
          </c:val>
          <c:extLst>
            <c:ext xmlns:c16="http://schemas.microsoft.com/office/drawing/2014/chart" uri="{C3380CC4-5D6E-409C-BE32-E72D297353CC}">
              <c16:uniqueId val="{0000000D-373D-4588-88C5-06F06F984325}"/>
            </c:ext>
          </c:extLst>
        </c:ser>
        <c:ser>
          <c:idx val="14"/>
          <c:order val="14"/>
          <c:tx>
            <c:strRef>
              <c:f>'LCA Sc1'!$K$77</c:f>
              <c:strCache>
                <c:ptCount val="1"/>
                <c:pt idx="0">
                  <c:v>Controlled landfill</c:v>
                </c:pt>
              </c:strCache>
            </c:strRef>
          </c:tx>
          <c:spPr>
            <a:pattFill prst="wdDnDiag">
              <a:fgClr>
                <a:srgbClr val="99CC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Sc1'!$L$77:$M$77</c:f>
              <c:numCache>
                <c:formatCode>General</c:formatCode>
                <c:ptCount val="2"/>
                <c:pt idx="0" formatCode="#,##0">
                  <c:v>0</c:v>
                </c:pt>
              </c:numCache>
            </c:numRef>
          </c:val>
          <c:extLst>
            <c:ext xmlns:c16="http://schemas.microsoft.com/office/drawing/2014/chart" uri="{C3380CC4-5D6E-409C-BE32-E72D297353CC}">
              <c16:uniqueId val="{0000000E-373D-4588-88C5-06F06F984325}"/>
            </c:ext>
          </c:extLst>
        </c:ser>
        <c:ser>
          <c:idx val="15"/>
          <c:order val="15"/>
          <c:tx>
            <c:strRef>
              <c:f>'LCA Sc1'!$K$78</c:f>
              <c:strCache>
                <c:ptCount val="1"/>
                <c:pt idx="0">
                  <c:v>Sanitary landfill</c:v>
                </c:pt>
              </c:strCache>
            </c:strRef>
          </c:tx>
          <c:spPr>
            <a:pattFill prst="wdUpDiag">
              <a:fgClr>
                <a:srgbClr val="FFFF0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Sc1'!$L$78:$M$78</c:f>
              <c:numCache>
                <c:formatCode>General</c:formatCode>
                <c:ptCount val="2"/>
                <c:pt idx="0" formatCode="#,##0">
                  <c:v>0</c:v>
                </c:pt>
              </c:numCache>
            </c:numRef>
          </c:val>
          <c:extLst>
            <c:ext xmlns:c16="http://schemas.microsoft.com/office/drawing/2014/chart" uri="{C3380CC4-5D6E-409C-BE32-E72D297353CC}">
              <c16:uniqueId val="{0000000F-373D-4588-88C5-06F06F984325}"/>
            </c:ext>
          </c:extLst>
        </c:ser>
        <c:ser>
          <c:idx val="16"/>
          <c:order val="16"/>
          <c:tx>
            <c:strRef>
              <c:f>'LCA Sc1'!$K$79</c:f>
              <c:strCache>
                <c:ptCount val="1"/>
                <c:pt idx="0">
                  <c:v>BS/landfill</c:v>
                </c:pt>
              </c:strCache>
            </c:strRef>
          </c:tx>
          <c:spPr>
            <a:pattFill prst="wdDnDiag">
              <a:fgClr>
                <a:srgbClr val="FF00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Sc1'!$L$79:$M$79</c:f>
              <c:numCache>
                <c:formatCode>General</c:formatCode>
                <c:ptCount val="2"/>
                <c:pt idx="0" formatCode="#,##0">
                  <c:v>0</c:v>
                </c:pt>
              </c:numCache>
            </c:numRef>
          </c:val>
          <c:extLst>
            <c:ext xmlns:c16="http://schemas.microsoft.com/office/drawing/2014/chart" uri="{C3380CC4-5D6E-409C-BE32-E72D297353CC}">
              <c16:uniqueId val="{00000010-373D-4588-88C5-06F06F984325}"/>
            </c:ext>
          </c:extLst>
        </c:ser>
        <c:ser>
          <c:idx val="17"/>
          <c:order val="17"/>
          <c:tx>
            <c:strRef>
              <c:f>'LCA Sc1'!$K$80</c:f>
              <c:strCache>
                <c:ptCount val="1"/>
                <c:pt idx="0">
                  <c:v>MBTaerobic/treatm</c:v>
                </c:pt>
              </c:strCache>
            </c:strRef>
          </c:tx>
          <c:spPr>
            <a:pattFill prst="wdUpDiag">
              <a:fgClr>
                <a:srgbClr val="00808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Sc1'!$L$80:$M$80</c:f>
              <c:numCache>
                <c:formatCode>General</c:formatCode>
                <c:ptCount val="2"/>
                <c:pt idx="0" formatCode="#,##0">
                  <c:v>0</c:v>
                </c:pt>
              </c:numCache>
            </c:numRef>
          </c:val>
          <c:extLst>
            <c:ext xmlns:c16="http://schemas.microsoft.com/office/drawing/2014/chart" uri="{C3380CC4-5D6E-409C-BE32-E72D297353CC}">
              <c16:uniqueId val="{00000011-373D-4588-88C5-06F06F984325}"/>
            </c:ext>
          </c:extLst>
        </c:ser>
        <c:ser>
          <c:idx val="18"/>
          <c:order val="18"/>
          <c:tx>
            <c:strRef>
              <c:f>'LCA Sc1'!$K$81</c:f>
              <c:strCache>
                <c:ptCount val="1"/>
                <c:pt idx="0">
                  <c:v>MBTanaerobic/treatm</c:v>
                </c:pt>
              </c:strCache>
            </c:strRef>
          </c:tx>
          <c:spPr>
            <a:pattFill prst="wdDnDiag">
              <a:fgClr>
                <a:srgbClr val="0099FF"/>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'LCA Sc1'!$L$62:$M$62</c:f>
              <c:strCache>
                <c:ptCount val="2"/>
                <c:pt idx="0">
                  <c:v>Disposed of waste</c:v>
                </c:pt>
                <c:pt idx="1">
                  <c:v>Net</c:v>
                </c:pt>
              </c:strCache>
            </c:strRef>
          </c:cat>
          <c:val>
            <c:numRef>
              <c:f>'LCA Sc1'!$L$81:$M$81</c:f>
              <c:numCache>
                <c:formatCode>General</c:formatCode>
                <c:ptCount val="2"/>
                <c:pt idx="0" formatCode="#,##0">
                  <c:v>0</c:v>
                </c:pt>
              </c:numCache>
            </c:numRef>
          </c:val>
          <c:extLst>
            <c:ext xmlns:c16="http://schemas.microsoft.com/office/drawing/2014/chart" uri="{C3380CC4-5D6E-409C-BE32-E72D297353CC}">
              <c16:uniqueId val="{00000012-373D-4588-88C5-06F06F984325}"/>
            </c:ext>
          </c:extLst>
        </c:ser>
        <c:ser>
          <c:idx val="19"/>
          <c:order val="19"/>
          <c:tx>
            <c:strRef>
              <c:f>'LCA Sc1'!$K$82</c:f>
              <c:strCache>
                <c:ptCount val="1"/>
                <c:pt idx="0">
                  <c:v>MBS/treatm</c:v>
                </c:pt>
              </c:strCache>
            </c:strRef>
          </c:tx>
          <c:spPr>
            <a:pattFill prst="wdUpDiag">
              <a:fgClr>
                <a:srgbClr val="FF9900"/>
              </a:fgClr>
              <a:bgClr>
                <a:schemeClr val="bg1"/>
              </a:bgClr>
            </a:pattFill>
            <a:ln w="12700">
              <a:solidFill>
                <a:srgbClr val="000000"/>
              </a:solidFill>
            </a:ln>
          </c:spPr>
          <c:invertIfNegative val="0"/>
          <c:cat>
            <c:strRef>
              <c:f>'LCA Sc1'!$L$62:$M$62</c:f>
              <c:strCache>
                <c:ptCount val="2"/>
                <c:pt idx="0">
                  <c:v>Disposed of waste</c:v>
                </c:pt>
                <c:pt idx="1">
                  <c:v>Net</c:v>
                </c:pt>
              </c:strCache>
            </c:strRef>
          </c:cat>
          <c:val>
            <c:numRef>
              <c:f>'LCA Sc1'!$L$82:$M$82</c:f>
              <c:numCache>
                <c:formatCode>General</c:formatCode>
                <c:ptCount val="2"/>
                <c:pt idx="0" formatCode="#,##0">
                  <c:v>0</c:v>
                </c:pt>
              </c:numCache>
            </c:numRef>
          </c:val>
          <c:extLst>
            <c:ext xmlns:c16="http://schemas.microsoft.com/office/drawing/2014/chart" uri="{C3380CC4-5D6E-409C-BE32-E72D297353CC}">
              <c16:uniqueId val="{00000013-373D-4588-88C5-06F06F984325}"/>
            </c:ext>
          </c:extLst>
        </c:ser>
        <c:ser>
          <c:idx val="20"/>
          <c:order val="20"/>
          <c:tx>
            <c:strRef>
              <c:f>'LCA Sc1'!$K$83</c:f>
              <c:strCache>
                <c:ptCount val="1"/>
                <c:pt idx="0">
                  <c:v>Incineration</c:v>
                </c:pt>
              </c:strCache>
            </c:strRef>
          </c:tx>
          <c:spPr>
            <a:pattFill prst="wdDnDiag">
              <a:fgClr>
                <a:srgbClr val="CCCCFF"/>
              </a:fgClr>
              <a:bgClr>
                <a:schemeClr val="bg1"/>
              </a:bgClr>
            </a:pattFill>
            <a:ln w="12700">
              <a:solidFill>
                <a:srgbClr val="000000"/>
              </a:solidFill>
              <a:prstDash val="solid"/>
            </a:ln>
          </c:spPr>
          <c:invertIfNegative val="0"/>
          <c:cat>
            <c:strRef>
              <c:f>'LCA Sc1'!$L$62:$M$62</c:f>
              <c:strCache>
                <c:ptCount val="2"/>
                <c:pt idx="0">
                  <c:v>Disposed of waste</c:v>
                </c:pt>
                <c:pt idx="1">
                  <c:v>Net</c:v>
                </c:pt>
              </c:strCache>
            </c:strRef>
          </c:cat>
          <c:val>
            <c:numRef>
              <c:f>'LCA Sc1'!$L$83:$M$83</c:f>
              <c:numCache>
                <c:formatCode>General</c:formatCode>
                <c:ptCount val="2"/>
                <c:pt idx="0" formatCode="#,##0">
                  <c:v>0</c:v>
                </c:pt>
              </c:numCache>
            </c:numRef>
          </c:val>
          <c:extLst>
            <c:ext xmlns:c16="http://schemas.microsoft.com/office/drawing/2014/chart" uri="{C3380CC4-5D6E-409C-BE32-E72D297353CC}">
              <c16:uniqueId val="{00000014-373D-4588-88C5-06F06F984325}"/>
            </c:ext>
          </c:extLst>
        </c:ser>
        <c:ser>
          <c:idx val="21"/>
          <c:order val="21"/>
          <c:tx>
            <c:strRef>
              <c:f>'LCA Sc1'!$K$84</c:f>
              <c:strCache>
                <c:ptCount val="1"/>
                <c:pt idx="0">
                  <c:v>Credits</c:v>
                </c:pt>
              </c:strCache>
            </c:strRef>
          </c:tx>
          <c:spPr>
            <a:noFill/>
          </c:spPr>
          <c:invertIfNegative val="0"/>
          <c:cat>
            <c:strRef>
              <c:f>'LCA Sc1'!$L$62:$M$62</c:f>
              <c:strCache>
                <c:ptCount val="2"/>
                <c:pt idx="0">
                  <c:v>Disposed of waste</c:v>
                </c:pt>
                <c:pt idx="1">
                  <c:v>Net</c:v>
                </c:pt>
              </c:strCache>
            </c:strRef>
          </c:cat>
          <c:val>
            <c:numRef>
              <c:f>'LCA Sc1'!$L$84:$M$84</c:f>
              <c:numCache>
                <c:formatCode>General</c:formatCode>
                <c:ptCount val="2"/>
              </c:numCache>
            </c:numRef>
          </c:val>
          <c:extLst>
            <c:ext xmlns:c16="http://schemas.microsoft.com/office/drawing/2014/chart" uri="{C3380CC4-5D6E-409C-BE32-E72D297353CC}">
              <c16:uniqueId val="{00000015-373D-4588-88C5-06F06F984325}"/>
            </c:ext>
          </c:extLst>
        </c:ser>
        <c:ser>
          <c:idx val="22"/>
          <c:order val="22"/>
          <c:tx>
            <c:strRef>
              <c:f>'LCA Sc1'!$K$85</c:f>
              <c:strCache>
                <c:ptCount val="1"/>
                <c:pt idx="0">
                  <c:v>Net</c:v>
                </c:pt>
              </c:strCache>
            </c:strRef>
          </c:tx>
          <c:spPr>
            <a:solidFill>
              <a:srgbClr val="0000FF"/>
            </a:solidFill>
          </c:spPr>
          <c:invertIfNegative val="0"/>
          <c:cat>
            <c:strRef>
              <c:f>'LCA Sc1'!$L$62:$M$62</c:f>
              <c:strCache>
                <c:ptCount val="2"/>
                <c:pt idx="0">
                  <c:v>Disposed of waste</c:v>
                </c:pt>
                <c:pt idx="1">
                  <c:v>Net</c:v>
                </c:pt>
              </c:strCache>
            </c:strRef>
          </c:cat>
          <c:val>
            <c:numRef>
              <c:f>'LCA Sc1'!$L$85:$M$85</c:f>
              <c:numCache>
                <c:formatCode>#,##0</c:formatCode>
                <c:ptCount val="2"/>
                <c:pt idx="1">
                  <c:v>0</c:v>
                </c:pt>
              </c:numCache>
            </c:numRef>
          </c:val>
          <c:extLst>
            <c:ext xmlns:c16="http://schemas.microsoft.com/office/drawing/2014/chart" uri="{C3380CC4-5D6E-409C-BE32-E72D297353CC}">
              <c16:uniqueId val="{00000016-373D-4588-88C5-06F06F984325}"/>
            </c:ext>
          </c:extLst>
        </c:ser>
        <c:dLbls>
          <c:showLegendKey val="0"/>
          <c:showVal val="0"/>
          <c:showCatName val="0"/>
          <c:showSerName val="0"/>
          <c:showPercent val="0"/>
          <c:showBubbleSize val="0"/>
        </c:dLbls>
        <c:gapWidth val="100"/>
        <c:overlap val="100"/>
        <c:axId val="561442888"/>
        <c:axId val="1"/>
      </c:barChart>
      <c:catAx>
        <c:axId val="5614428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de-DE"/>
                  <a:t>tonne CO2e/yr</a:t>
                </a:r>
              </a:p>
            </c:rich>
          </c:tx>
          <c:layout>
            <c:manualLayout>
              <c:xMode val="edge"/>
              <c:yMode val="edge"/>
              <c:x val="1.101322770386033E-2"/>
              <c:y val="0.359331476323119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61442888"/>
        <c:crosses val="autoZero"/>
        <c:crossBetween val="between"/>
      </c:valAx>
      <c:spPr>
        <a:noFill/>
        <a:ln w="12700">
          <a:solidFill>
            <a:srgbClr val="808080"/>
          </a:solidFill>
          <a:prstDash val="solid"/>
        </a:ln>
      </c:spPr>
    </c:plotArea>
    <c:legend>
      <c:legendPos val="r"/>
      <c:legendEntry>
        <c:idx val="0"/>
        <c:txPr>
          <a:bodyPr/>
          <a:lstStyle/>
          <a:p>
            <a:pPr>
              <a:defRPr sz="780" b="1" i="0" u="none" strike="noStrike" baseline="0">
                <a:solidFill>
                  <a:srgbClr val="000000"/>
                </a:solidFill>
                <a:latin typeface="Arial"/>
                <a:ea typeface="Arial"/>
                <a:cs typeface="Arial"/>
              </a:defRPr>
            </a:pPr>
            <a:endParaRPr lang="de-DE"/>
          </a:p>
        </c:txPr>
      </c:legendEntry>
      <c:legendEntry>
        <c:idx val="1"/>
        <c:txPr>
          <a:bodyPr/>
          <a:lstStyle/>
          <a:p>
            <a:pPr>
              <a:defRPr sz="780" b="1" i="0" u="none" strike="noStrike" baseline="0">
                <a:solidFill>
                  <a:srgbClr val="000000"/>
                </a:solidFill>
                <a:latin typeface="Arial"/>
                <a:ea typeface="Arial"/>
                <a:cs typeface="Arial"/>
              </a:defRPr>
            </a:pPr>
            <a:endParaRPr lang="de-DE"/>
          </a:p>
        </c:txPr>
      </c:legendEntry>
      <c:legendEntry>
        <c:idx val="2"/>
        <c:txPr>
          <a:bodyPr/>
          <a:lstStyle/>
          <a:p>
            <a:pPr>
              <a:defRPr sz="780" b="0" i="0" u="none" strike="noStrike" baseline="0">
                <a:solidFill>
                  <a:srgbClr val="000000"/>
                </a:solidFill>
                <a:latin typeface="Arial"/>
                <a:ea typeface="Arial"/>
                <a:cs typeface="Arial"/>
              </a:defRPr>
            </a:pPr>
            <a:endParaRPr lang="de-DE"/>
          </a:p>
        </c:txPr>
      </c:legendEntry>
      <c:legendEntry>
        <c:idx val="3"/>
        <c:txPr>
          <a:bodyPr/>
          <a:lstStyle/>
          <a:p>
            <a:pPr>
              <a:defRPr sz="780" b="0" i="0" u="none" strike="noStrike" baseline="0">
                <a:solidFill>
                  <a:srgbClr val="000000"/>
                </a:solidFill>
                <a:latin typeface="Arial"/>
                <a:ea typeface="Arial"/>
                <a:cs typeface="Arial"/>
              </a:defRPr>
            </a:pPr>
            <a:endParaRPr lang="de-DE"/>
          </a:p>
        </c:txPr>
      </c:legendEntry>
      <c:legendEntry>
        <c:idx val="6"/>
        <c:txPr>
          <a:bodyPr/>
          <a:lstStyle/>
          <a:p>
            <a:pPr>
              <a:defRPr sz="780" b="0" i="0" u="none" strike="noStrike" baseline="0">
                <a:solidFill>
                  <a:srgbClr val="000000"/>
                </a:solidFill>
                <a:latin typeface="Arial"/>
                <a:ea typeface="Arial"/>
                <a:cs typeface="Arial"/>
              </a:defRPr>
            </a:pPr>
            <a:endParaRPr lang="de-DE"/>
          </a:p>
        </c:txPr>
      </c:legendEntry>
      <c:legendEntry>
        <c:idx val="7"/>
        <c:txPr>
          <a:bodyPr/>
          <a:lstStyle/>
          <a:p>
            <a:pPr>
              <a:defRPr sz="780" b="0" i="0" u="none" strike="noStrike" baseline="0">
                <a:solidFill>
                  <a:srgbClr val="000000"/>
                </a:solidFill>
                <a:latin typeface="Arial"/>
                <a:ea typeface="Arial"/>
                <a:cs typeface="Arial"/>
              </a:defRPr>
            </a:pPr>
            <a:endParaRPr lang="de-DE"/>
          </a:p>
        </c:txPr>
      </c:legendEntry>
      <c:legendEntry>
        <c:idx val="10"/>
        <c:txPr>
          <a:bodyPr/>
          <a:lstStyle/>
          <a:p>
            <a:pPr>
              <a:defRPr sz="780" b="0" i="0" u="none" strike="noStrike" baseline="0">
                <a:solidFill>
                  <a:srgbClr val="000000"/>
                </a:solidFill>
                <a:latin typeface="Arial"/>
                <a:ea typeface="Arial"/>
                <a:cs typeface="Arial"/>
              </a:defRPr>
            </a:pPr>
            <a:endParaRPr lang="de-DE"/>
          </a:p>
        </c:txPr>
      </c:legendEntry>
      <c:legendEntry>
        <c:idx val="11"/>
        <c:txPr>
          <a:bodyPr/>
          <a:lstStyle/>
          <a:p>
            <a:pPr>
              <a:defRPr sz="780" b="0" i="0" u="none" strike="noStrike" baseline="0">
                <a:solidFill>
                  <a:srgbClr val="000000"/>
                </a:solidFill>
                <a:latin typeface="Arial"/>
                <a:ea typeface="Arial"/>
                <a:cs typeface="Arial"/>
              </a:defRPr>
            </a:pPr>
            <a:endParaRPr lang="de-DE"/>
          </a:p>
        </c:txPr>
      </c:legendEntry>
      <c:legendEntry>
        <c:idx val="12"/>
        <c:txPr>
          <a:bodyPr/>
          <a:lstStyle/>
          <a:p>
            <a:pPr>
              <a:defRPr sz="780" b="1" i="0" u="none" strike="noStrike" baseline="0">
                <a:solidFill>
                  <a:srgbClr val="000000"/>
                </a:solidFill>
                <a:latin typeface="Arial"/>
                <a:ea typeface="Arial"/>
                <a:cs typeface="Arial"/>
              </a:defRPr>
            </a:pPr>
            <a:endParaRPr lang="de-DE"/>
          </a:p>
        </c:txPr>
      </c:legendEntry>
      <c:legendEntry>
        <c:idx val="13"/>
        <c:txPr>
          <a:bodyPr/>
          <a:lstStyle/>
          <a:p>
            <a:pPr>
              <a:defRPr sz="780" b="0" i="0" u="none" strike="noStrike" baseline="0">
                <a:solidFill>
                  <a:srgbClr val="000000"/>
                </a:solidFill>
                <a:latin typeface="Arial"/>
                <a:ea typeface="Arial"/>
                <a:cs typeface="Arial"/>
              </a:defRPr>
            </a:pPr>
            <a:endParaRPr lang="de-DE"/>
          </a:p>
        </c:txPr>
      </c:legendEntry>
      <c:legendEntry>
        <c:idx val="15"/>
        <c:txPr>
          <a:bodyPr/>
          <a:lstStyle/>
          <a:p>
            <a:pPr>
              <a:defRPr sz="780" b="0" i="0" u="none" strike="noStrike" baseline="0">
                <a:solidFill>
                  <a:srgbClr val="000000"/>
                </a:solidFill>
                <a:latin typeface="Arial"/>
                <a:ea typeface="Arial"/>
                <a:cs typeface="Arial"/>
              </a:defRPr>
            </a:pPr>
            <a:endParaRPr lang="de-DE"/>
          </a:p>
        </c:txPr>
      </c:legendEntry>
      <c:legendEntry>
        <c:idx val="17"/>
        <c:txPr>
          <a:bodyPr/>
          <a:lstStyle/>
          <a:p>
            <a:pPr>
              <a:defRPr sz="780" b="0" i="0" u="none" strike="noStrike" baseline="0">
                <a:solidFill>
                  <a:srgbClr val="000000"/>
                </a:solidFill>
                <a:latin typeface="Arial"/>
                <a:ea typeface="Arial"/>
                <a:cs typeface="Arial"/>
              </a:defRPr>
            </a:pPr>
            <a:endParaRPr lang="de-DE"/>
          </a:p>
        </c:txPr>
      </c:legendEntry>
      <c:layout>
        <c:manualLayout>
          <c:xMode val="edge"/>
          <c:yMode val="edge"/>
          <c:x val="0.73318386012185555"/>
          <c:y val="4.7440245124682416E-2"/>
          <c:w val="0.25217032451178367"/>
          <c:h val="0.91865411991082757"/>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Waste treated</a:t>
            </a:r>
          </a:p>
        </c:rich>
      </c:tx>
      <c:layout>
        <c:manualLayout>
          <c:xMode val="edge"/>
          <c:yMode val="edge"/>
          <c:x val="0.41295546558704455"/>
          <c:y val="1.2135936712986281E-2"/>
        </c:manualLayout>
      </c:layout>
      <c:overlay val="0"/>
      <c:spPr>
        <a:noFill/>
        <a:ln w="25400">
          <a:noFill/>
        </a:ln>
      </c:spPr>
    </c:title>
    <c:autoTitleDeleted val="0"/>
    <c:plotArea>
      <c:layout>
        <c:manualLayout>
          <c:layoutTarget val="inner"/>
          <c:xMode val="edge"/>
          <c:yMode val="edge"/>
          <c:x val="0.19635627530364372"/>
          <c:y val="8.7378744333501235E-2"/>
          <c:w val="0.77732793522267207"/>
          <c:h val="0.60922402299191136"/>
        </c:manualLayout>
      </c:layout>
      <c:barChart>
        <c:barDir val="col"/>
        <c:grouping val="clustered"/>
        <c:varyColors val="0"/>
        <c:ser>
          <c:idx val="0"/>
          <c:order val="0"/>
          <c:spPr>
            <a:solidFill>
              <a:srgbClr val="008000"/>
            </a:solidFill>
            <a:ln w="12700">
              <a:solidFill>
                <a:srgbClr val="000000"/>
              </a:solidFill>
              <a:prstDash val="solid"/>
            </a:ln>
          </c:spPr>
          <c:invertIfNegative val="0"/>
          <c:cat>
            <c:strRef>
              <c:f>('LCA Sc2'!$B$7:$B$14,'LCA Sc2'!$B$17:$B$26)</c:f>
              <c:strCache>
                <c:ptCount val="18"/>
                <c:pt idx="0">
                  <c:v>Food waste</c:v>
                </c:pt>
                <c:pt idx="1">
                  <c:v>Garden &amp; park waste</c:v>
                </c:pt>
                <c:pt idx="2">
                  <c:v>Paper, cardboard</c:v>
                </c:pt>
                <c:pt idx="3">
                  <c:v>Plastics</c:v>
                </c:pt>
                <c:pt idx="4">
                  <c:v>Glass</c:v>
                </c:pt>
                <c:pt idx="5">
                  <c:v>Ferrous metals</c:v>
                </c:pt>
                <c:pt idx="6">
                  <c:v>Aluminium</c:v>
                </c:pt>
                <c:pt idx="8">
                  <c:v>Scattered</c:v>
                </c:pt>
                <c:pt idx="9">
                  <c:v>Burned-open</c:v>
                </c:pt>
                <c:pt idx="10">
                  <c:v>Wild dump</c:v>
                </c:pt>
                <c:pt idx="11">
                  <c:v>Controlled landfill</c:v>
                </c:pt>
                <c:pt idx="12">
                  <c:v>Sanitary landfill</c:v>
                </c:pt>
                <c:pt idx="13">
                  <c:v>BS/landfill</c:v>
                </c:pt>
                <c:pt idx="14">
                  <c:v>MBTaerobic/treatm</c:v>
                </c:pt>
                <c:pt idx="15">
                  <c:v>MBTanaerobic/treatm</c:v>
                </c:pt>
                <c:pt idx="16">
                  <c:v>MBS/treatm</c:v>
                </c:pt>
                <c:pt idx="17">
                  <c:v>Incineration</c:v>
                </c:pt>
              </c:strCache>
            </c:strRef>
          </c:cat>
          <c:val>
            <c:numRef>
              <c:f>('LCA Sc2'!$C$7:$C$14,'LCA Sc2'!$C$17:$C$26)</c:f>
              <c:numCache>
                <c:formatCode>#,##0</c:formatCode>
                <c:ptCount val="18"/>
                <c:pt idx="0">
                  <c:v>0</c:v>
                </c:pt>
                <c:pt idx="1">
                  <c:v>0</c:v>
                </c:pt>
                <c:pt idx="2">
                  <c:v>0</c:v>
                </c:pt>
                <c:pt idx="3">
                  <c:v>0</c:v>
                </c:pt>
                <c:pt idx="4">
                  <c:v>0</c:v>
                </c:pt>
                <c:pt idx="5">
                  <c:v>0</c:v>
                </c:pt>
                <c:pt idx="6">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620-4EC2-BEA9-49F62186DA9E}"/>
            </c:ext>
          </c:extLst>
        </c:ser>
        <c:dLbls>
          <c:showLegendKey val="0"/>
          <c:showVal val="0"/>
          <c:showCatName val="0"/>
          <c:showSerName val="0"/>
          <c:showPercent val="0"/>
          <c:showBubbleSize val="0"/>
        </c:dLbls>
        <c:gapWidth val="100"/>
        <c:axId val="560902040"/>
        <c:axId val="1"/>
      </c:barChart>
      <c:catAx>
        <c:axId val="56090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366000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de-DE"/>
                  <a:t>t/yr</a:t>
                </a:r>
              </a:p>
            </c:rich>
          </c:tx>
          <c:layout>
            <c:manualLayout>
              <c:xMode val="edge"/>
              <c:yMode val="edge"/>
              <c:x val="1.0121457489878543E-2"/>
              <c:y val="0.359223726704393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560902040"/>
        <c:crosses val="autoZero"/>
        <c:crossBetween val="between"/>
      </c:valAx>
      <c:spPr>
        <a:noFill/>
        <a:ln w="3175">
          <a:solidFill>
            <a:srgbClr val="000000"/>
          </a:solidFill>
          <a:prstDash val="solid"/>
        </a:ln>
      </c:spPr>
    </c:plotArea>
    <c:plotVisOnly val="1"/>
    <c:dispBlanksAs val="gap"/>
    <c:showDLblsOverMax val="0"/>
  </c:chart>
  <c:spPr>
    <a:no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4</xdr:col>
      <xdr:colOff>346377</xdr:colOff>
      <xdr:row>19</xdr:row>
      <xdr:rowOff>120192</xdr:rowOff>
    </xdr:from>
    <xdr:to>
      <xdr:col>12</xdr:col>
      <xdr:colOff>43481</xdr:colOff>
      <xdr:row>26</xdr:row>
      <xdr:rowOff>32385</xdr:rowOff>
    </xdr:to>
    <xdr:grpSp>
      <xdr:nvGrpSpPr>
        <xdr:cNvPr id="2" name="Gruppieren 1">
          <a:extLst>
            <a:ext uri="{FF2B5EF4-FFF2-40B4-BE49-F238E27FC236}">
              <a16:creationId xmlns:a16="http://schemas.microsoft.com/office/drawing/2014/main" id="{4A91B68B-C5F6-49AD-A5AB-D0682B1F008E}"/>
            </a:ext>
          </a:extLst>
        </xdr:cNvPr>
        <xdr:cNvGrpSpPr/>
      </xdr:nvGrpSpPr>
      <xdr:grpSpPr>
        <a:xfrm>
          <a:off x="3043857" y="3615867"/>
          <a:ext cx="5852159" cy="1074243"/>
          <a:chOff x="182880" y="5304127"/>
          <a:chExt cx="6010290" cy="1137285"/>
        </a:xfrm>
      </xdr:grpSpPr>
      <xdr:pic>
        <xdr:nvPicPr>
          <xdr:cNvPr id="75779" name="Picture 3" descr="BMZ_C_XL">
            <a:extLst>
              <a:ext uri="{FF2B5EF4-FFF2-40B4-BE49-F238E27FC236}">
                <a16:creationId xmlns:a16="http://schemas.microsoft.com/office/drawing/2014/main" id="{8B007DF5-2FBC-4F73-9F7E-CA95AB45FA0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072"/>
          <a:stretch/>
        </xdr:blipFill>
        <xdr:spPr bwMode="auto">
          <a:xfrm>
            <a:off x="182880" y="5482590"/>
            <a:ext cx="2331720" cy="85058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5787" name="Picture 11">
            <a:extLst>
              <a:ext uri="{FF2B5EF4-FFF2-40B4-BE49-F238E27FC236}">
                <a16:creationId xmlns:a16="http://schemas.microsoft.com/office/drawing/2014/main" id="{97F6FCD6-FB18-4009-91A1-EA651373D0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3654" y="5453683"/>
            <a:ext cx="2152650" cy="90106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5788" name="Picture 12">
            <a:extLst>
              <a:ext uri="{FF2B5EF4-FFF2-40B4-BE49-F238E27FC236}">
                <a16:creationId xmlns:a16="http://schemas.microsoft.com/office/drawing/2014/main" id="{912A01B4-6327-4716-94E4-1B53B3D3F7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00565" y="5304127"/>
            <a:ext cx="1792605" cy="113728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twoCellAnchor editAs="oneCell">
    <xdr:from>
      <xdr:col>2</xdr:col>
      <xdr:colOff>621029</xdr:colOff>
      <xdr:row>26</xdr:row>
      <xdr:rowOff>40005</xdr:rowOff>
    </xdr:from>
    <xdr:to>
      <xdr:col>3</xdr:col>
      <xdr:colOff>444911</xdr:colOff>
      <xdr:row>29</xdr:row>
      <xdr:rowOff>107728</xdr:rowOff>
    </xdr:to>
    <xdr:pic>
      <xdr:nvPicPr>
        <xdr:cNvPr id="9" name="Grafik 8" descr="https://www.ifeu.de/fileadmin/_processed_/d/a/csm_Logo_ifeu_e79436549b.gif">
          <a:extLst>
            <a:ext uri="{FF2B5EF4-FFF2-40B4-BE49-F238E27FC236}">
              <a16:creationId xmlns:a16="http://schemas.microsoft.com/office/drawing/2014/main" id="{2F5DBCE6-5443-4E03-A5AA-9CFA2E9FEE0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6879" y="6012180"/>
          <a:ext cx="587788" cy="587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41406</xdr:colOff>
      <xdr:row>4</xdr:row>
      <xdr:rowOff>105601</xdr:rowOff>
    </xdr:from>
    <xdr:to>
      <xdr:col>4</xdr:col>
      <xdr:colOff>14817</xdr:colOff>
      <xdr:row>13</xdr:row>
      <xdr:rowOff>142276</xdr:rowOff>
    </xdr:to>
    <xdr:pic>
      <xdr:nvPicPr>
        <xdr:cNvPr id="3" name="Grafik 2">
          <a:extLst>
            <a:ext uri="{FF2B5EF4-FFF2-40B4-BE49-F238E27FC236}">
              <a16:creationId xmlns:a16="http://schemas.microsoft.com/office/drawing/2014/main" id="{303F848E-0A40-4957-94F5-A0634AFE7DD4}"/>
            </a:ext>
          </a:extLst>
        </xdr:cNvPr>
        <xdr:cNvPicPr>
          <a:picLocks noChangeAspect="1"/>
        </xdr:cNvPicPr>
      </xdr:nvPicPr>
      <xdr:blipFill>
        <a:blip xmlns:r="http://schemas.openxmlformats.org/officeDocument/2006/relationships" r:embed="rId5"/>
        <a:stretch>
          <a:fillRect/>
        </a:stretch>
      </xdr:blipFill>
      <xdr:spPr>
        <a:xfrm>
          <a:off x="431931" y="1067626"/>
          <a:ext cx="2287986" cy="1494000"/>
        </a:xfrm>
        <a:prstGeom prst="rect">
          <a:avLst/>
        </a:prstGeom>
      </xdr:spPr>
    </xdr:pic>
    <xdr:clientData/>
  </xdr:twoCellAnchor>
  <xdr:twoCellAnchor editAs="oneCell">
    <xdr:from>
      <xdr:col>4</xdr:col>
      <xdr:colOff>90277</xdr:colOff>
      <xdr:row>4</xdr:row>
      <xdr:rowOff>105600</xdr:rowOff>
    </xdr:from>
    <xdr:to>
      <xdr:col>7</xdr:col>
      <xdr:colOff>63686</xdr:colOff>
      <xdr:row>13</xdr:row>
      <xdr:rowOff>142275</xdr:rowOff>
    </xdr:to>
    <xdr:pic>
      <xdr:nvPicPr>
        <xdr:cNvPr id="4" name="Grafik 3">
          <a:extLst>
            <a:ext uri="{FF2B5EF4-FFF2-40B4-BE49-F238E27FC236}">
              <a16:creationId xmlns:a16="http://schemas.microsoft.com/office/drawing/2014/main" id="{F6CDD707-2DDD-4098-BF52-BD7C339098E1}"/>
            </a:ext>
          </a:extLst>
        </xdr:cNvPr>
        <xdr:cNvPicPr>
          <a:picLocks noChangeAspect="1"/>
        </xdr:cNvPicPr>
      </xdr:nvPicPr>
      <xdr:blipFill>
        <a:blip xmlns:r="http://schemas.openxmlformats.org/officeDocument/2006/relationships" r:embed="rId6"/>
        <a:stretch>
          <a:fillRect/>
        </a:stretch>
      </xdr:blipFill>
      <xdr:spPr>
        <a:xfrm>
          <a:off x="2795377" y="1067625"/>
          <a:ext cx="2287984" cy="1494000"/>
        </a:xfrm>
        <a:prstGeom prst="rect">
          <a:avLst/>
        </a:prstGeom>
      </xdr:spPr>
    </xdr:pic>
    <xdr:clientData/>
  </xdr:twoCellAnchor>
  <xdr:twoCellAnchor editAs="oneCell">
    <xdr:from>
      <xdr:col>7</xdr:col>
      <xdr:colOff>129628</xdr:colOff>
      <xdr:row>4</xdr:row>
      <xdr:rowOff>105603</xdr:rowOff>
    </xdr:from>
    <xdr:to>
      <xdr:col>10</xdr:col>
      <xdr:colOff>103038</xdr:colOff>
      <xdr:row>13</xdr:row>
      <xdr:rowOff>142278</xdr:rowOff>
    </xdr:to>
    <xdr:pic>
      <xdr:nvPicPr>
        <xdr:cNvPr id="5" name="Grafik 4">
          <a:extLst>
            <a:ext uri="{FF2B5EF4-FFF2-40B4-BE49-F238E27FC236}">
              <a16:creationId xmlns:a16="http://schemas.microsoft.com/office/drawing/2014/main" id="{7EE9AD77-264D-4BB0-872C-CE7EA0B851E7}"/>
            </a:ext>
          </a:extLst>
        </xdr:cNvPr>
        <xdr:cNvPicPr>
          <a:picLocks noChangeAspect="1"/>
        </xdr:cNvPicPr>
      </xdr:nvPicPr>
      <xdr:blipFill>
        <a:blip xmlns:r="http://schemas.openxmlformats.org/officeDocument/2006/relationships" r:embed="rId7"/>
        <a:stretch>
          <a:fillRect/>
        </a:stretch>
      </xdr:blipFill>
      <xdr:spPr>
        <a:xfrm>
          <a:off x="5149303" y="1067628"/>
          <a:ext cx="2287985" cy="149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247650</xdr:colOff>
      <xdr:row>10</xdr:row>
      <xdr:rowOff>38100</xdr:rowOff>
    </xdr:from>
    <xdr:to>
      <xdr:col>13</xdr:col>
      <xdr:colOff>1062990</xdr:colOff>
      <xdr:row>25</xdr:row>
      <xdr:rowOff>34850</xdr:rowOff>
    </xdr:to>
    <xdr:pic>
      <xdr:nvPicPr>
        <xdr:cNvPr id="15383" name="Picture 23">
          <a:extLst>
            <a:ext uri="{FF2B5EF4-FFF2-40B4-BE49-F238E27FC236}">
              <a16:creationId xmlns:a16="http://schemas.microsoft.com/office/drawing/2014/main" id="{407626AE-BBEB-4BFD-BCBF-79751E7CF5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02003" y="1562100"/>
          <a:ext cx="3898638" cy="2449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251459</xdr:colOff>
      <xdr:row>1</xdr:row>
      <xdr:rowOff>167640</xdr:rowOff>
    </xdr:from>
    <xdr:to>
      <xdr:col>11</xdr:col>
      <xdr:colOff>352425</xdr:colOff>
      <xdr:row>25</xdr:row>
      <xdr:rowOff>139065</xdr:rowOff>
    </xdr:to>
    <xdr:graphicFrame macro="">
      <xdr:nvGraphicFramePr>
        <xdr:cNvPr id="17409" name="Diagramm 1">
          <a:extLst>
            <a:ext uri="{FF2B5EF4-FFF2-40B4-BE49-F238E27FC236}">
              <a16:creationId xmlns:a16="http://schemas.microsoft.com/office/drawing/2014/main" id="{B669668E-BDA0-4F8E-845D-B3DC75C29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828675</xdr:colOff>
      <xdr:row>61</xdr:row>
      <xdr:rowOff>9525</xdr:rowOff>
    </xdr:from>
    <xdr:to>
      <xdr:col>8</xdr:col>
      <xdr:colOff>619125</xdr:colOff>
      <xdr:row>81</xdr:row>
      <xdr:rowOff>19050</xdr:rowOff>
    </xdr:to>
    <xdr:graphicFrame macro="">
      <xdr:nvGraphicFramePr>
        <xdr:cNvPr id="17416" name="Diagramm 8">
          <a:extLst>
            <a:ext uri="{FF2B5EF4-FFF2-40B4-BE49-F238E27FC236}">
              <a16:creationId xmlns:a16="http://schemas.microsoft.com/office/drawing/2014/main" id="{CF17D051-9F67-4C2A-8D41-D8972E450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9525</xdr:colOff>
      <xdr:row>61</xdr:row>
      <xdr:rowOff>0</xdr:rowOff>
    </xdr:from>
    <xdr:to>
      <xdr:col>18</xdr:col>
      <xdr:colOff>457200</xdr:colOff>
      <xdr:row>82</xdr:row>
      <xdr:rowOff>19050</xdr:rowOff>
    </xdr:to>
    <xdr:graphicFrame macro="">
      <xdr:nvGraphicFramePr>
        <xdr:cNvPr id="17418" name="Diagramm 10">
          <a:extLst>
            <a:ext uri="{FF2B5EF4-FFF2-40B4-BE49-F238E27FC236}">
              <a16:creationId xmlns:a16="http://schemas.microsoft.com/office/drawing/2014/main" id="{86F08F9B-688B-464B-84C5-8E0416E29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447675</xdr:colOff>
      <xdr:row>6</xdr:row>
      <xdr:rowOff>0</xdr:rowOff>
    </xdr:from>
    <xdr:to>
      <xdr:col>14</xdr:col>
      <xdr:colOff>342900</xdr:colOff>
      <xdr:row>7</xdr:row>
      <xdr:rowOff>152400</xdr:rowOff>
    </xdr:to>
    <xdr:sp macro="" textlink="">
      <xdr:nvSpPr>
        <xdr:cNvPr id="17420" name="Line 12">
          <a:extLst>
            <a:ext uri="{FF2B5EF4-FFF2-40B4-BE49-F238E27FC236}">
              <a16:creationId xmlns:a16="http://schemas.microsoft.com/office/drawing/2014/main" id="{95F84BD3-9302-437A-A0CE-D98C25794954}"/>
            </a:ext>
          </a:extLst>
        </xdr:cNvPr>
        <xdr:cNvSpPr>
          <a:spLocks noChangeShapeType="1"/>
        </xdr:cNvSpPr>
      </xdr:nvSpPr>
      <xdr:spPr bwMode="auto">
        <a:xfrm flipH="1">
          <a:off x="12592050" y="1066800"/>
          <a:ext cx="6858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409575</xdr:colOff>
      <xdr:row>6</xdr:row>
      <xdr:rowOff>9525</xdr:rowOff>
    </xdr:from>
    <xdr:to>
      <xdr:col>16</xdr:col>
      <xdr:colOff>352425</xdr:colOff>
      <xdr:row>7</xdr:row>
      <xdr:rowOff>152400</xdr:rowOff>
    </xdr:to>
    <xdr:sp macro="" textlink="">
      <xdr:nvSpPr>
        <xdr:cNvPr id="17421" name="Line 13">
          <a:extLst>
            <a:ext uri="{FF2B5EF4-FFF2-40B4-BE49-F238E27FC236}">
              <a16:creationId xmlns:a16="http://schemas.microsoft.com/office/drawing/2014/main" id="{A928AB38-B50E-45F4-848E-BCF9AD269551}"/>
            </a:ext>
          </a:extLst>
        </xdr:cNvPr>
        <xdr:cNvSpPr>
          <a:spLocks noChangeShapeType="1"/>
        </xdr:cNvSpPr>
      </xdr:nvSpPr>
      <xdr:spPr bwMode="auto">
        <a:xfrm>
          <a:off x="14116050" y="1076325"/>
          <a:ext cx="7143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266700</xdr:colOff>
      <xdr:row>30</xdr:row>
      <xdr:rowOff>66675</xdr:rowOff>
    </xdr:from>
    <xdr:to>
      <xdr:col>11</xdr:col>
      <xdr:colOff>352425</xdr:colOff>
      <xdr:row>51</xdr:row>
      <xdr:rowOff>85725</xdr:rowOff>
    </xdr:to>
    <xdr:graphicFrame macro="">
      <xdr:nvGraphicFramePr>
        <xdr:cNvPr id="17423" name="Diagramm 15">
          <a:extLst>
            <a:ext uri="{FF2B5EF4-FFF2-40B4-BE49-F238E27FC236}">
              <a16:creationId xmlns:a16="http://schemas.microsoft.com/office/drawing/2014/main" id="{D5D72B63-DC53-44B8-87D4-07308E330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247650</xdr:colOff>
      <xdr:row>2</xdr:row>
      <xdr:rowOff>9525</xdr:rowOff>
    </xdr:from>
    <xdr:to>
      <xdr:col>11</xdr:col>
      <xdr:colOff>314325</xdr:colOff>
      <xdr:row>25</xdr:row>
      <xdr:rowOff>123825</xdr:rowOff>
    </xdr:to>
    <xdr:graphicFrame macro="">
      <xdr:nvGraphicFramePr>
        <xdr:cNvPr id="55297" name="Diagramm 1">
          <a:extLst>
            <a:ext uri="{FF2B5EF4-FFF2-40B4-BE49-F238E27FC236}">
              <a16:creationId xmlns:a16="http://schemas.microsoft.com/office/drawing/2014/main" id="{2E384EE6-1D58-4E89-AE8D-AE620740D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828675</xdr:colOff>
      <xdr:row>61</xdr:row>
      <xdr:rowOff>9525</xdr:rowOff>
    </xdr:from>
    <xdr:to>
      <xdr:col>8</xdr:col>
      <xdr:colOff>619125</xdr:colOff>
      <xdr:row>81</xdr:row>
      <xdr:rowOff>19050</xdr:rowOff>
    </xdr:to>
    <xdr:graphicFrame macro="">
      <xdr:nvGraphicFramePr>
        <xdr:cNvPr id="55298" name="Diagramm 2">
          <a:extLst>
            <a:ext uri="{FF2B5EF4-FFF2-40B4-BE49-F238E27FC236}">
              <a16:creationId xmlns:a16="http://schemas.microsoft.com/office/drawing/2014/main" id="{7C12F59C-F0A6-457E-A6C2-CA68E7228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447675</xdr:colOff>
      <xdr:row>6</xdr:row>
      <xdr:rowOff>0</xdr:rowOff>
    </xdr:from>
    <xdr:to>
      <xdr:col>14</xdr:col>
      <xdr:colOff>342900</xdr:colOff>
      <xdr:row>7</xdr:row>
      <xdr:rowOff>152400</xdr:rowOff>
    </xdr:to>
    <xdr:sp macro="" textlink="">
      <xdr:nvSpPr>
        <xdr:cNvPr id="55301" name="Line 5">
          <a:extLst>
            <a:ext uri="{FF2B5EF4-FFF2-40B4-BE49-F238E27FC236}">
              <a16:creationId xmlns:a16="http://schemas.microsoft.com/office/drawing/2014/main" id="{BCF80855-FCA6-4737-9BD5-2D0A12C7F7FE}"/>
            </a:ext>
          </a:extLst>
        </xdr:cNvPr>
        <xdr:cNvSpPr>
          <a:spLocks noChangeShapeType="1"/>
        </xdr:cNvSpPr>
      </xdr:nvSpPr>
      <xdr:spPr bwMode="auto">
        <a:xfrm flipH="1">
          <a:off x="12573000" y="1066800"/>
          <a:ext cx="6667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409575</xdr:colOff>
      <xdr:row>6</xdr:row>
      <xdr:rowOff>9525</xdr:rowOff>
    </xdr:from>
    <xdr:to>
      <xdr:col>16</xdr:col>
      <xdr:colOff>352425</xdr:colOff>
      <xdr:row>7</xdr:row>
      <xdr:rowOff>152400</xdr:rowOff>
    </xdr:to>
    <xdr:sp macro="" textlink="">
      <xdr:nvSpPr>
        <xdr:cNvPr id="55302" name="Line 6">
          <a:extLst>
            <a:ext uri="{FF2B5EF4-FFF2-40B4-BE49-F238E27FC236}">
              <a16:creationId xmlns:a16="http://schemas.microsoft.com/office/drawing/2014/main" id="{905A94B9-A331-42BF-A1ED-5732CA18B20D}"/>
            </a:ext>
          </a:extLst>
        </xdr:cNvPr>
        <xdr:cNvSpPr>
          <a:spLocks noChangeShapeType="1"/>
        </xdr:cNvSpPr>
      </xdr:nvSpPr>
      <xdr:spPr bwMode="auto">
        <a:xfrm>
          <a:off x="14077950" y="1076325"/>
          <a:ext cx="7143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266700</xdr:colOff>
      <xdr:row>30</xdr:row>
      <xdr:rowOff>0</xdr:rowOff>
    </xdr:from>
    <xdr:to>
      <xdr:col>11</xdr:col>
      <xdr:colOff>352425</xdr:colOff>
      <xdr:row>51</xdr:row>
      <xdr:rowOff>38100</xdr:rowOff>
    </xdr:to>
    <xdr:graphicFrame macro="">
      <xdr:nvGraphicFramePr>
        <xdr:cNvPr id="55303" name="Diagramm 7">
          <a:extLst>
            <a:ext uri="{FF2B5EF4-FFF2-40B4-BE49-F238E27FC236}">
              <a16:creationId xmlns:a16="http://schemas.microsoft.com/office/drawing/2014/main" id="{0B2A3AEE-520A-4D6B-AC57-FD0D647D2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33615</xdr:colOff>
      <xdr:row>61</xdr:row>
      <xdr:rowOff>33617</xdr:rowOff>
    </xdr:from>
    <xdr:to>
      <xdr:col>18</xdr:col>
      <xdr:colOff>503702</xdr:colOff>
      <xdr:row>82</xdr:row>
      <xdr:rowOff>52667</xdr:rowOff>
    </xdr:to>
    <xdr:graphicFrame macro="">
      <xdr:nvGraphicFramePr>
        <xdr:cNvPr id="8" name="Diagramm 10">
          <a:extLst>
            <a:ext uri="{FF2B5EF4-FFF2-40B4-BE49-F238E27FC236}">
              <a16:creationId xmlns:a16="http://schemas.microsoft.com/office/drawing/2014/main" id="{6B31D2F0-E885-4E6B-AF6F-1778F0D4D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257175</xdr:colOff>
      <xdr:row>2</xdr:row>
      <xdr:rowOff>0</xdr:rowOff>
    </xdr:from>
    <xdr:to>
      <xdr:col>11</xdr:col>
      <xdr:colOff>333375</xdr:colOff>
      <xdr:row>26</xdr:row>
      <xdr:rowOff>0</xdr:rowOff>
    </xdr:to>
    <xdr:graphicFrame macro="">
      <xdr:nvGraphicFramePr>
        <xdr:cNvPr id="64513" name="Diagramm 1">
          <a:extLst>
            <a:ext uri="{FF2B5EF4-FFF2-40B4-BE49-F238E27FC236}">
              <a16:creationId xmlns:a16="http://schemas.microsoft.com/office/drawing/2014/main" id="{AD0AC76C-6754-4A97-A138-22C8CB010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828675</xdr:colOff>
      <xdr:row>61</xdr:row>
      <xdr:rowOff>9525</xdr:rowOff>
    </xdr:from>
    <xdr:to>
      <xdr:col>8</xdr:col>
      <xdr:colOff>619125</xdr:colOff>
      <xdr:row>81</xdr:row>
      <xdr:rowOff>19050</xdr:rowOff>
    </xdr:to>
    <xdr:graphicFrame macro="">
      <xdr:nvGraphicFramePr>
        <xdr:cNvPr id="64514" name="Diagramm 2">
          <a:extLst>
            <a:ext uri="{FF2B5EF4-FFF2-40B4-BE49-F238E27FC236}">
              <a16:creationId xmlns:a16="http://schemas.microsoft.com/office/drawing/2014/main" id="{20EFB42D-7B86-4542-B65A-0924CFEE0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447675</xdr:colOff>
      <xdr:row>6</xdr:row>
      <xdr:rowOff>0</xdr:rowOff>
    </xdr:from>
    <xdr:to>
      <xdr:col>14</xdr:col>
      <xdr:colOff>342900</xdr:colOff>
      <xdr:row>7</xdr:row>
      <xdr:rowOff>152400</xdr:rowOff>
    </xdr:to>
    <xdr:sp macro="" textlink="">
      <xdr:nvSpPr>
        <xdr:cNvPr id="64516" name="Line 4">
          <a:extLst>
            <a:ext uri="{FF2B5EF4-FFF2-40B4-BE49-F238E27FC236}">
              <a16:creationId xmlns:a16="http://schemas.microsoft.com/office/drawing/2014/main" id="{EC3EDDF3-66C3-4B3C-9510-0D1B1A5FE024}"/>
            </a:ext>
          </a:extLst>
        </xdr:cNvPr>
        <xdr:cNvSpPr>
          <a:spLocks noChangeShapeType="1"/>
        </xdr:cNvSpPr>
      </xdr:nvSpPr>
      <xdr:spPr bwMode="auto">
        <a:xfrm flipH="1">
          <a:off x="12553950" y="1066800"/>
          <a:ext cx="7048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409575</xdr:colOff>
      <xdr:row>6</xdr:row>
      <xdr:rowOff>9525</xdr:rowOff>
    </xdr:from>
    <xdr:to>
      <xdr:col>16</xdr:col>
      <xdr:colOff>352425</xdr:colOff>
      <xdr:row>7</xdr:row>
      <xdr:rowOff>152400</xdr:rowOff>
    </xdr:to>
    <xdr:sp macro="" textlink="">
      <xdr:nvSpPr>
        <xdr:cNvPr id="64517" name="Line 5">
          <a:extLst>
            <a:ext uri="{FF2B5EF4-FFF2-40B4-BE49-F238E27FC236}">
              <a16:creationId xmlns:a16="http://schemas.microsoft.com/office/drawing/2014/main" id="{9415ABF9-A6D0-46C6-B152-90FCC5A35820}"/>
            </a:ext>
          </a:extLst>
        </xdr:cNvPr>
        <xdr:cNvSpPr>
          <a:spLocks noChangeShapeType="1"/>
        </xdr:cNvSpPr>
      </xdr:nvSpPr>
      <xdr:spPr bwMode="auto">
        <a:xfrm>
          <a:off x="14097000" y="1076325"/>
          <a:ext cx="7143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266700</xdr:colOff>
      <xdr:row>30</xdr:row>
      <xdr:rowOff>0</xdr:rowOff>
    </xdr:from>
    <xdr:to>
      <xdr:col>11</xdr:col>
      <xdr:colOff>352425</xdr:colOff>
      <xdr:row>51</xdr:row>
      <xdr:rowOff>38100</xdr:rowOff>
    </xdr:to>
    <xdr:graphicFrame macro="">
      <xdr:nvGraphicFramePr>
        <xdr:cNvPr id="64518" name="Diagramm 6">
          <a:extLst>
            <a:ext uri="{FF2B5EF4-FFF2-40B4-BE49-F238E27FC236}">
              <a16:creationId xmlns:a16="http://schemas.microsoft.com/office/drawing/2014/main" id="{3595F8D3-53C4-457A-B9F2-C78F842AD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44811</xdr:colOff>
      <xdr:row>61</xdr:row>
      <xdr:rowOff>0</xdr:rowOff>
    </xdr:from>
    <xdr:to>
      <xdr:col>18</xdr:col>
      <xdr:colOff>481281</xdr:colOff>
      <xdr:row>82</xdr:row>
      <xdr:rowOff>19050</xdr:rowOff>
    </xdr:to>
    <xdr:graphicFrame macro="">
      <xdr:nvGraphicFramePr>
        <xdr:cNvPr id="8" name="Diagramm 10">
          <a:extLst>
            <a:ext uri="{FF2B5EF4-FFF2-40B4-BE49-F238E27FC236}">
              <a16:creationId xmlns:a16="http://schemas.microsoft.com/office/drawing/2014/main" id="{52A1602D-9B9A-4822-AF19-F71186FCB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2</xdr:row>
      <xdr:rowOff>19050</xdr:rowOff>
    </xdr:from>
    <xdr:to>
      <xdr:col>11</xdr:col>
      <xdr:colOff>323850</xdr:colOff>
      <xdr:row>27</xdr:row>
      <xdr:rowOff>28575</xdr:rowOff>
    </xdr:to>
    <xdr:graphicFrame macro="">
      <xdr:nvGraphicFramePr>
        <xdr:cNvPr id="67585" name="Diagramm 1">
          <a:extLst>
            <a:ext uri="{FF2B5EF4-FFF2-40B4-BE49-F238E27FC236}">
              <a16:creationId xmlns:a16="http://schemas.microsoft.com/office/drawing/2014/main" id="{F994318C-5885-4661-9F68-89394F26B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828675</xdr:colOff>
      <xdr:row>61</xdr:row>
      <xdr:rowOff>9525</xdr:rowOff>
    </xdr:from>
    <xdr:to>
      <xdr:col>8</xdr:col>
      <xdr:colOff>619125</xdr:colOff>
      <xdr:row>81</xdr:row>
      <xdr:rowOff>19050</xdr:rowOff>
    </xdr:to>
    <xdr:graphicFrame macro="">
      <xdr:nvGraphicFramePr>
        <xdr:cNvPr id="67586" name="Diagramm 2">
          <a:extLst>
            <a:ext uri="{FF2B5EF4-FFF2-40B4-BE49-F238E27FC236}">
              <a16:creationId xmlns:a16="http://schemas.microsoft.com/office/drawing/2014/main" id="{B81CE273-46AF-4AC5-899E-1148942E9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447675</xdr:colOff>
      <xdr:row>6</xdr:row>
      <xdr:rowOff>0</xdr:rowOff>
    </xdr:from>
    <xdr:to>
      <xdr:col>14</xdr:col>
      <xdr:colOff>342900</xdr:colOff>
      <xdr:row>7</xdr:row>
      <xdr:rowOff>152400</xdr:rowOff>
    </xdr:to>
    <xdr:sp macro="" textlink="">
      <xdr:nvSpPr>
        <xdr:cNvPr id="67588" name="Line 4">
          <a:extLst>
            <a:ext uri="{FF2B5EF4-FFF2-40B4-BE49-F238E27FC236}">
              <a16:creationId xmlns:a16="http://schemas.microsoft.com/office/drawing/2014/main" id="{59B9FEBF-A7F6-49FB-A463-527EBD48E320}"/>
            </a:ext>
          </a:extLst>
        </xdr:cNvPr>
        <xdr:cNvSpPr>
          <a:spLocks noChangeShapeType="1"/>
        </xdr:cNvSpPr>
      </xdr:nvSpPr>
      <xdr:spPr bwMode="auto">
        <a:xfrm flipH="1">
          <a:off x="12592050" y="1066800"/>
          <a:ext cx="6858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409575</xdr:colOff>
      <xdr:row>6</xdr:row>
      <xdr:rowOff>9525</xdr:rowOff>
    </xdr:from>
    <xdr:to>
      <xdr:col>16</xdr:col>
      <xdr:colOff>352425</xdr:colOff>
      <xdr:row>7</xdr:row>
      <xdr:rowOff>152400</xdr:rowOff>
    </xdr:to>
    <xdr:sp macro="" textlink="">
      <xdr:nvSpPr>
        <xdr:cNvPr id="67589" name="Line 5">
          <a:extLst>
            <a:ext uri="{FF2B5EF4-FFF2-40B4-BE49-F238E27FC236}">
              <a16:creationId xmlns:a16="http://schemas.microsoft.com/office/drawing/2014/main" id="{BA605B0C-193D-41AB-B374-A09834BC24BC}"/>
            </a:ext>
          </a:extLst>
        </xdr:cNvPr>
        <xdr:cNvSpPr>
          <a:spLocks noChangeShapeType="1"/>
        </xdr:cNvSpPr>
      </xdr:nvSpPr>
      <xdr:spPr bwMode="auto">
        <a:xfrm>
          <a:off x="14116050" y="1076325"/>
          <a:ext cx="7143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266700</xdr:colOff>
      <xdr:row>30</xdr:row>
      <xdr:rowOff>0</xdr:rowOff>
    </xdr:from>
    <xdr:to>
      <xdr:col>11</xdr:col>
      <xdr:colOff>352425</xdr:colOff>
      <xdr:row>51</xdr:row>
      <xdr:rowOff>38100</xdr:rowOff>
    </xdr:to>
    <xdr:graphicFrame macro="">
      <xdr:nvGraphicFramePr>
        <xdr:cNvPr id="67590" name="Diagramm 6">
          <a:extLst>
            <a:ext uri="{FF2B5EF4-FFF2-40B4-BE49-F238E27FC236}">
              <a16:creationId xmlns:a16="http://schemas.microsoft.com/office/drawing/2014/main" id="{70A83A0F-BD25-48EA-B0CA-44300607D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56017</xdr:colOff>
      <xdr:row>61</xdr:row>
      <xdr:rowOff>0</xdr:rowOff>
    </xdr:from>
    <xdr:to>
      <xdr:col>18</xdr:col>
      <xdr:colOff>503692</xdr:colOff>
      <xdr:row>82</xdr:row>
      <xdr:rowOff>19050</xdr:rowOff>
    </xdr:to>
    <xdr:graphicFrame macro="">
      <xdr:nvGraphicFramePr>
        <xdr:cNvPr id="8" name="Diagramm 10">
          <a:extLst>
            <a:ext uri="{FF2B5EF4-FFF2-40B4-BE49-F238E27FC236}">
              <a16:creationId xmlns:a16="http://schemas.microsoft.com/office/drawing/2014/main" id="{42CBE3DE-836A-4809-84C0-1E2C756DF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333375</xdr:colOff>
      <xdr:row>2</xdr:row>
      <xdr:rowOff>19050</xdr:rowOff>
    </xdr:from>
    <xdr:to>
      <xdr:col>14</xdr:col>
      <xdr:colOff>285750</xdr:colOff>
      <xdr:row>26</xdr:row>
      <xdr:rowOff>142875</xdr:rowOff>
    </xdr:to>
    <xdr:graphicFrame macro="">
      <xdr:nvGraphicFramePr>
        <xdr:cNvPr id="34817" name="Diagramm 1">
          <a:extLst>
            <a:ext uri="{FF2B5EF4-FFF2-40B4-BE49-F238E27FC236}">
              <a16:creationId xmlns:a16="http://schemas.microsoft.com/office/drawing/2014/main" id="{1EDA31EB-E8C3-4D6D-A09B-145218F14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676275</xdr:colOff>
      <xdr:row>29</xdr:row>
      <xdr:rowOff>104775</xdr:rowOff>
    </xdr:from>
    <xdr:to>
      <xdr:col>21</xdr:col>
      <xdr:colOff>609600</xdr:colOff>
      <xdr:row>52</xdr:row>
      <xdr:rowOff>152400</xdr:rowOff>
    </xdr:to>
    <xdr:graphicFrame macro="">
      <xdr:nvGraphicFramePr>
        <xdr:cNvPr id="34822" name="Diagramm 6">
          <a:extLst>
            <a:ext uri="{FF2B5EF4-FFF2-40B4-BE49-F238E27FC236}">
              <a16:creationId xmlns:a16="http://schemas.microsoft.com/office/drawing/2014/main" id="{037BBBA5-3ED3-423B-939F-DE1BA14E2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314325</xdr:colOff>
      <xdr:row>29</xdr:row>
      <xdr:rowOff>104775</xdr:rowOff>
    </xdr:from>
    <xdr:to>
      <xdr:col>13</xdr:col>
      <xdr:colOff>466725</xdr:colOff>
      <xdr:row>53</xdr:row>
      <xdr:rowOff>9525</xdr:rowOff>
    </xdr:to>
    <xdr:graphicFrame macro="">
      <xdr:nvGraphicFramePr>
        <xdr:cNvPr id="34828" name="Diagramm 12">
          <a:extLst>
            <a:ext uri="{FF2B5EF4-FFF2-40B4-BE49-F238E27FC236}">
              <a16:creationId xmlns:a16="http://schemas.microsoft.com/office/drawing/2014/main" id="{5F210A92-6F9D-45F3-984E-83EA55087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485775</xdr:colOff>
      <xdr:row>0</xdr:row>
      <xdr:rowOff>0</xdr:rowOff>
    </xdr:from>
    <xdr:to>
      <xdr:col>20</xdr:col>
      <xdr:colOff>638175</xdr:colOff>
      <xdr:row>0</xdr:row>
      <xdr:rowOff>0</xdr:rowOff>
    </xdr:to>
    <xdr:graphicFrame macro="">
      <xdr:nvGraphicFramePr>
        <xdr:cNvPr id="70659" name="Diagramm 3">
          <a:extLst>
            <a:ext uri="{FF2B5EF4-FFF2-40B4-BE49-F238E27FC236}">
              <a16:creationId xmlns:a16="http://schemas.microsoft.com/office/drawing/2014/main" id="{7C0ADB1A-B4E0-4BCB-8AD9-07A4FF941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Arbeitsordner/02_Diverses%20Projekte/Angebote_abstracts/_laufend/KfW%20Tool/Abfall-Klima-Rechner_Endentwurf_091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ine/Diverses%20Projekte/EU_BMU%20Pl&#228;ne-Programme/Abfall/ISWA%20Task%20Force%20GHG-SWM/EpE%20Protokoll/EpE%2012-2008%20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oora%20Harju/Documents/Noora/Projekte/KfW/Landfill%20tools/IPCC_19R_V5_Waste_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
      <sheetName val="Start"/>
      <sheetName val="Recycling"/>
      <sheetName val="Disposal"/>
      <sheetName val="Costs"/>
      <sheetName val="Results SQ"/>
      <sheetName val="Results Sc1"/>
      <sheetName val="Results Sc2"/>
      <sheetName val="Results Sc3"/>
      <sheetName val="Results all"/>
      <sheetName val="Results costs all"/>
      <sheetName val="Calcul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ransport"/>
      <sheetName val="Comb &amp; Indirectes"/>
      <sheetName val="Stockage -  Landfill"/>
      <sheetName val="Incineration"/>
      <sheetName val="Eaux usées - Wastewater"/>
      <sheetName val="Evitées -  Avoided"/>
      <sheetName val="Facteurs - Factors"/>
      <sheetName val="Facteurs recyclage - Recycling "/>
      <sheetName val="Synthèse - Synthesis"/>
      <sheetName val="Ne pas modifier - Do not modif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B2" t="str">
            <v>Protocole de quantification des émissions de GES liées à la gestion des déchets</v>
          </cell>
          <cell r="C2" t="str">
            <v>Protocol for the quantification of GHG emissions from waste management activities1</v>
          </cell>
        </row>
        <row r="3">
          <cell r="B3" t="str">
            <v>Choose your langage / choisissez votre langue</v>
          </cell>
          <cell r="C3" t="str">
            <v>Choisissez votre langue / choose your langage:</v>
          </cell>
        </row>
        <row r="4">
          <cell r="B4" t="str">
            <v>Cet outil Excel accompagne le protocole préparé par Entreprises pour l'Environnement afin d'assister un exploitant dans son inventaire des émissions de gaz à effet de serre liées à la gestion des déchets.</v>
          </cell>
          <cell r="C4" t="str">
            <v>This Excel tool is appended to  the protocol prepared by Entreprises pour l'Environnement to assist operators in their greenhouse gas emissions inventory associated with waste management activities.</v>
          </cell>
        </row>
        <row r="5">
          <cell r="B5" t="str">
            <v>Cet outil doit être utilisé dans le cadre d'un inventaire effectué selon les principes décrits dans le protocole Word auquel ce fichier est annexé.</v>
          </cell>
          <cell r="C5" t="str">
            <v>This tool has to be used as part of an inventory done according to the principles described in the Word file protocol.</v>
          </cell>
        </row>
        <row r="6">
          <cell r="B6" t="str">
            <v xml:space="preserve">Il comporte les onglets suivants : </v>
          </cell>
          <cell r="C6" t="str">
            <v xml:space="preserve">It is made of the following sheets: </v>
          </cell>
        </row>
        <row r="7">
          <cell r="B7" t="str">
            <v>Transport</v>
          </cell>
          <cell r="C7" t="str">
            <v>Transport</v>
          </cell>
        </row>
        <row r="8">
          <cell r="B8" t="str">
            <v>Comb &amp; Indirectes</v>
          </cell>
          <cell r="C8" t="str">
            <v>Comb &amp; Indirect</v>
          </cell>
        </row>
        <row r="9">
          <cell r="B9" t="str">
            <v>Stockage (décharge)</v>
          </cell>
          <cell r="C9" t="str">
            <v>Landfilling</v>
          </cell>
        </row>
        <row r="10">
          <cell r="B10" t="str">
            <v>Incinération</v>
          </cell>
          <cell r="C10" t="str">
            <v>Incineration</v>
          </cell>
        </row>
        <row r="11">
          <cell r="B11" t="str">
            <v>Eaux Usées</v>
          </cell>
          <cell r="C11" t="str">
            <v>Wastewater</v>
          </cell>
        </row>
        <row r="12">
          <cell r="B12" t="str">
            <v>Evitées</v>
          </cell>
          <cell r="C12" t="str">
            <v>Avoided</v>
          </cell>
        </row>
        <row r="13">
          <cell r="B13" t="str">
            <v>Facteurs</v>
          </cell>
          <cell r="C13" t="str">
            <v>Factors</v>
          </cell>
        </row>
        <row r="14">
          <cell r="B14" t="str">
            <v>Synthèse</v>
          </cell>
          <cell r="C14" t="str">
            <v>Synthesis</v>
          </cell>
        </row>
        <row r="15">
          <cell r="B15" t="str">
            <v>Emissions liées à la collecte et au transport des déchets</v>
          </cell>
          <cell r="C15" t="str">
            <v>Emissions due to waste collection and transport</v>
          </cell>
        </row>
        <row r="16">
          <cell r="B16" t="str">
            <v>Emissions liées à la consommation de combustibles d'électricité et d'énergie thermique</v>
          </cell>
          <cell r="C16" t="str">
            <v>Emissions due to fuel, electricity or thermic energy consumption</v>
          </cell>
        </row>
        <row r="17">
          <cell r="B17" t="str">
            <v>Spécifications pour un calcul d'émissions d'un centre de stockage / mise en décharge des déchets</v>
          </cell>
          <cell r="C17" t="str">
            <v>Specifications for the emissions calculations for landfilling</v>
          </cell>
        </row>
        <row r="18">
          <cell r="B18" t="str">
            <v>Emissions liées à l'incinération des déchets (tous types)</v>
          </cell>
          <cell r="C18" t="str">
            <v>Emissions due to waste incineration (all types)</v>
          </cell>
        </row>
        <row r="19">
          <cell r="B19" t="str">
            <v>Emissions liées au traitement des eaux usées</v>
          </cell>
          <cell r="C19" t="str">
            <v>Emissions due to wastewater treatment</v>
          </cell>
        </row>
        <row r="20">
          <cell r="B20" t="str">
            <v>Emissions evitées lors d'un des traitements listés ci-dessus</v>
          </cell>
          <cell r="C20" t="str">
            <v>Emissions avoided during one of the above activities</v>
          </cell>
        </row>
        <row r="21">
          <cell r="B21" t="str">
            <v>Facteurs indicatifs pouvant être employés</v>
          </cell>
          <cell r="C21" t="str">
            <v>Indicative factors that can be used</v>
          </cell>
        </row>
        <row r="22">
          <cell r="B22" t="str">
            <v>Feuille récapitulative de l'inventaire</v>
          </cell>
          <cell r="C22" t="str">
            <v>Inventory recapitulative sheet</v>
          </cell>
        </row>
        <row r="23">
          <cell r="B23" t="str">
            <v>Des informations automatiques sont fournies dans les différentes cellules, permettant de remplir le formulaire.</v>
          </cell>
          <cell r="C23" t="str">
            <v>Automatic information will be provided in certain cells, helping to complete the form.</v>
          </cell>
        </row>
        <row r="24">
          <cell r="B24" t="str">
            <v xml:space="preserve">Contact EpE : </v>
          </cell>
          <cell r="C24" t="str">
            <v xml:space="preserve">EpE Contact: </v>
          </cell>
        </row>
        <row r="25">
          <cell r="B25" t="str">
            <v>50 rue de la Chaussée d'Antin</v>
          </cell>
          <cell r="C25" t="str">
            <v>50 rue de la Chaussée d'Antin</v>
          </cell>
        </row>
        <row r="26">
          <cell r="B26" t="str">
            <v>Paris 75009</v>
          </cell>
          <cell r="C26" t="str">
            <v>Paris 75009</v>
          </cell>
        </row>
        <row r="27">
          <cell r="B27" t="str">
            <v>Tél : + (33) 1 49 70 98 50</v>
          </cell>
          <cell r="C27" t="str">
            <v>Tél : + (33) 1 49 70 98 50</v>
          </cell>
        </row>
        <row r="28">
          <cell r="B28" t="str">
            <v>Fax : + (33) 1 49 70 02 50</v>
          </cell>
          <cell r="C28" t="str">
            <v>Fax : + (33) 1 49 70 02 50</v>
          </cell>
        </row>
        <row r="29">
          <cell r="B29" t="str">
            <v>E-mail : contact@epe-asso.org</v>
          </cell>
          <cell r="C29" t="str">
            <v>E-mail : contact@epe-asso.org</v>
          </cell>
        </row>
        <row r="30">
          <cell r="B30" t="str">
            <v>http://www.epe-asso.org</v>
          </cell>
          <cell r="C30" t="str">
            <v>http://www.epe-asso.org</v>
          </cell>
        </row>
        <row r="31">
          <cell r="B31" t="str">
            <v>Décembre 2008</v>
          </cell>
          <cell r="C31" t="str">
            <v>December 2008</v>
          </cell>
        </row>
        <row r="32">
          <cell r="B32" t="str">
            <v>Facteurs recyclage</v>
          </cell>
          <cell r="C32" t="str">
            <v>Recycling factors</v>
          </cell>
        </row>
        <row r="33">
          <cell r="B33" t="str">
            <v>Facteurs indicatifs pour le calcul des émissions évitées liées à la valorisation matière</v>
          </cell>
          <cell r="C33" t="str">
            <v>Indicative factors for avoided emissions related to material  recovery</v>
          </cell>
        </row>
        <row r="34">
          <cell r="C34">
            <v>33</v>
          </cell>
        </row>
        <row r="35">
          <cell r="C35">
            <v>34</v>
          </cell>
        </row>
        <row r="36">
          <cell r="C36">
            <v>35</v>
          </cell>
        </row>
        <row r="37">
          <cell r="C37">
            <v>36</v>
          </cell>
        </row>
        <row r="38">
          <cell r="C38">
            <v>37</v>
          </cell>
        </row>
        <row r="39">
          <cell r="C39">
            <v>38</v>
          </cell>
        </row>
        <row r="40">
          <cell r="C40">
            <v>39</v>
          </cell>
        </row>
        <row r="41">
          <cell r="C41">
            <v>40</v>
          </cell>
        </row>
        <row r="42">
          <cell r="C42">
            <v>41</v>
          </cell>
        </row>
        <row r="43">
          <cell r="C43">
            <v>42</v>
          </cell>
        </row>
        <row r="44">
          <cell r="C44">
            <v>43</v>
          </cell>
        </row>
        <row r="45">
          <cell r="C45">
            <v>44</v>
          </cell>
        </row>
        <row r="46">
          <cell r="C46">
            <v>45</v>
          </cell>
        </row>
        <row r="47">
          <cell r="C47">
            <v>46</v>
          </cell>
        </row>
        <row r="48">
          <cell r="C48">
            <v>47</v>
          </cell>
        </row>
        <row r="49">
          <cell r="C49">
            <v>48</v>
          </cell>
        </row>
        <row r="50">
          <cell r="C50">
            <v>49</v>
          </cell>
        </row>
        <row r="51">
          <cell r="B51" t="str">
            <v>EMISSIONS DE GAZ A EFFET DE SERRE LIEES AUX TRANSPORTS</v>
          </cell>
          <cell r="C51" t="str">
            <v>GREENHOUSE GAS EMISSIONS DUE TO TRANSPORTS</v>
          </cell>
        </row>
        <row r="52">
          <cell r="B52" t="str">
            <v>Ces tableaux sont extraits du Module GES Transports élaboré conjointement par EpE et l'ADEME</v>
          </cell>
          <cell r="C52" t="str">
            <v>These tables are extracted for the GHG emissions calculation tool from transport activities developped together by EpE and ADEME</v>
          </cell>
        </row>
        <row r="53">
          <cell r="B53" t="str">
            <v>CODE COULEURS :</v>
          </cell>
          <cell r="C53" t="str">
            <v>COLOUR CODE:</v>
          </cell>
        </row>
        <row r="54">
          <cell r="B54" t="str">
            <v>Emissions directes des moyens de transport détenus en propre ou opérés par l'entité effectuant le reporting</v>
          </cell>
          <cell r="C54" t="str">
            <v>Direct emissions from transportation vehicles owned or operated by the reporting entity</v>
          </cell>
        </row>
        <row r="55">
          <cell r="B55" t="str">
            <v>Emissions associées à la production d'électricité consommée par des véhicules électriques ou hybrides opérés par l'entité</v>
          </cell>
          <cell r="C55" t="str">
            <v>Emissions due to the production of electricity that is used by the electric or hybrid vehicles operated by the entity</v>
          </cell>
        </row>
        <row r="56">
          <cell r="B56" t="str">
            <v>Emissions des moyens de transport détenus ou opérés par un sous-traitant de l'entité effectuant le reporting</v>
          </cell>
          <cell r="C56" t="str">
            <v>Emissions from transportation vehicles owned or operated by a subcontractor of the reporting entity</v>
          </cell>
        </row>
        <row r="57">
          <cell r="B57" t="str">
            <v>Cet onglet doit être utilisé pour déterminer les émissions liées au transport. Doivent être reportées aussi bien les émissions directes liées aux moyens détenus ou opérés par l'entité, les émissions indirectes des véhicules électriques, et les émissions i</v>
          </cell>
          <cell r="C57" t="str">
            <v>This sheet has to be used to assess emissions from transport. Direct emissions from vehicles owned or operated by the entity, indirect emissions from electric vehicles and indirect emissions from contracted transport operations should also be reported. Th</v>
          </cell>
        </row>
        <row r="58">
          <cell r="B58" t="str">
            <v>1 - Fret routier : calcul à partir des achats de carburants (unité : L)</v>
          </cell>
          <cell r="C58" t="str">
            <v>1 - Road freightage: calculated from fuel puchases (unit: L)</v>
          </cell>
        </row>
        <row r="59">
          <cell r="B59" t="str">
            <v>Consommation</v>
          </cell>
          <cell r="C59" t="str">
            <v>Consumption</v>
          </cell>
        </row>
        <row r="60">
          <cell r="B60" t="str">
            <v>kg CO2-e</v>
          </cell>
          <cell r="C60" t="str">
            <v>kg CO2-e</v>
          </cell>
        </row>
        <row r="61">
          <cell r="B61" t="str">
            <v>t</v>
          </cell>
          <cell r="C61" t="str">
            <v>t</v>
          </cell>
        </row>
        <row r="62">
          <cell r="B62" t="str">
            <v>(litre)</v>
          </cell>
          <cell r="C62" t="str">
            <v>(litre)</v>
          </cell>
        </row>
        <row r="63">
          <cell r="B63" t="str">
            <v>par litre</v>
          </cell>
          <cell r="C63" t="str">
            <v>per litre</v>
          </cell>
        </row>
        <row r="64">
          <cell r="B64" t="str">
            <v>CO2-e</v>
          </cell>
          <cell r="C64" t="str">
            <v>CO2-e</v>
          </cell>
        </row>
        <row r="65">
          <cell r="B65" t="str">
            <v>moyens détenus,</v>
          </cell>
          <cell r="C65" t="str">
            <v>owned,</v>
          </cell>
        </row>
        <row r="66">
          <cell r="B66" t="str">
            <v>contrôlés ou</v>
          </cell>
          <cell r="C66" t="str">
            <v xml:space="preserve">
controlled or </v>
          </cell>
        </row>
        <row r="67">
          <cell r="B67" t="str">
            <v>opérés</v>
          </cell>
          <cell r="C67" t="str">
            <v xml:space="preserve">operated </v>
          </cell>
        </row>
        <row r="68">
          <cell r="B68" t="str">
            <v>activité externalisée</v>
          </cell>
          <cell r="C68" t="str">
            <v>outsourced goods</v>
          </cell>
        </row>
        <row r="69">
          <cell r="B69" t="str">
            <v>de transport</v>
          </cell>
          <cell r="C69" t="str">
            <v xml:space="preserve"> transportation</v>
          </cell>
        </row>
        <row r="70">
          <cell r="B70" t="str">
            <v>de marchandises</v>
          </cell>
          <cell r="C70" t="str">
            <v xml:space="preserve"> activity</v>
          </cell>
        </row>
        <row r="71">
          <cell r="B71" t="str">
            <v>Combustible</v>
          </cell>
          <cell r="C71" t="str">
            <v>Fuel</v>
          </cell>
        </row>
        <row r="72">
          <cell r="B72" t="str">
            <v>Supercarburant</v>
          </cell>
          <cell r="C72" t="str">
            <v>Gasoline</v>
          </cell>
        </row>
        <row r="73">
          <cell r="B73" t="str">
            <v>Gazole</v>
          </cell>
          <cell r="C73" t="str">
            <v>Diesel oil</v>
          </cell>
        </row>
        <row r="74">
          <cell r="B74" t="str">
            <v>GPL</v>
          </cell>
          <cell r="C74" t="str">
            <v>LPG</v>
          </cell>
        </row>
        <row r="75">
          <cell r="B75" t="str">
            <v>Autre carburant</v>
          </cell>
          <cell r="C75" t="str">
            <v>Other fuel</v>
          </cell>
        </row>
        <row r="76">
          <cell r="B76" t="str">
            <v>Total</v>
          </cell>
          <cell r="C76" t="str">
            <v>Total</v>
          </cell>
        </row>
        <row r="77">
          <cell r="B77" t="str">
            <v>2 - Fret routier : calcul à partir des achats de carburants (unité : tonnes)</v>
          </cell>
          <cell r="C77" t="str">
            <v>2 - Road freightage: calculated from fuels' puchases (unit: tonnes)</v>
          </cell>
        </row>
        <row r="78">
          <cell r="B78" t="str">
            <v>(tonnes)</v>
          </cell>
          <cell r="C78" t="str">
            <v>(tons)</v>
          </cell>
        </row>
        <row r="79">
          <cell r="B79" t="str">
            <v>par tonne</v>
          </cell>
          <cell r="C79" t="str">
            <v>per ton</v>
          </cell>
        </row>
        <row r="80">
          <cell r="B80" t="str">
            <v>Gaz naturel</v>
          </cell>
          <cell r="C80" t="str">
            <v>Natural gas</v>
          </cell>
        </row>
        <row r="81">
          <cell r="B81" t="str">
            <v>3 - Fret routier à traction électrique : calcul à partir des achats d'électricité</v>
          </cell>
          <cell r="C81" t="str">
            <v>3 - Road freightage with electrical traction: calculated from electricity purchases</v>
          </cell>
        </row>
        <row r="82">
          <cell r="B82" t="str">
            <v>(MWh)</v>
          </cell>
          <cell r="C82" t="str">
            <v>(MWh)</v>
          </cell>
        </row>
        <row r="83">
          <cell r="B83" t="str">
            <v>4 - Fret routier : calcul à partir des véhicules.km et des consommations moyennes</v>
          </cell>
          <cell r="C83" t="str">
            <v>4 - Road freightage: calculated from vehicles.km and average consumptions</v>
          </cell>
        </row>
        <row r="84">
          <cell r="B84" t="str">
            <v>véhicule.km</v>
          </cell>
          <cell r="C84" t="str">
            <v>vehicle.km</v>
          </cell>
        </row>
        <row r="85">
          <cell r="B85" t="str">
            <v>Désignation du véhicule</v>
          </cell>
          <cell r="C85" t="str">
            <v>Vehicle's designation</v>
          </cell>
        </row>
        <row r="86">
          <cell r="B86" t="str">
            <v>Véhicule essence, 1</v>
          </cell>
          <cell r="C86" t="str">
            <v>Gasoline vehicle, 1</v>
          </cell>
        </row>
        <row r="87">
          <cell r="B87" t="str">
            <v>Véhicule essence, 2</v>
          </cell>
          <cell r="C87" t="str">
            <v>Gasoline vehicle, 2</v>
          </cell>
        </row>
        <row r="88">
          <cell r="B88" t="str">
            <v>Véhicule essence, 3</v>
          </cell>
          <cell r="C88" t="str">
            <v>Gasoline vehicle, 3</v>
          </cell>
        </row>
        <row r="89">
          <cell r="B89" t="str">
            <v>Véhicule diesel, 1</v>
          </cell>
          <cell r="C89" t="str">
            <v>Diesel oil vehicle, 1</v>
          </cell>
        </row>
        <row r="90">
          <cell r="B90" t="str">
            <v>Véhicule diesel, 2</v>
          </cell>
          <cell r="C90" t="str">
            <v>Diesel oil vehicle, 2</v>
          </cell>
        </row>
        <row r="91">
          <cell r="B91" t="str">
            <v>Véhicule diesel, 3</v>
          </cell>
          <cell r="C91" t="str">
            <v>Diesel oil vehicle, 3</v>
          </cell>
        </row>
        <row r="92">
          <cell r="B92" t="str">
            <v>Autre véhicule, 1</v>
          </cell>
          <cell r="C92" t="str">
            <v>Other vehicle, 1</v>
          </cell>
        </row>
        <row r="93">
          <cell r="B93" t="str">
            <v>Autre véhicule, 2</v>
          </cell>
          <cell r="C93" t="str">
            <v>Other vehicle, 2</v>
          </cell>
        </row>
        <row r="94">
          <cell r="B94" t="str">
            <v>Autre véhicule, 3</v>
          </cell>
          <cell r="C94" t="str">
            <v>Other vehicle, 3</v>
          </cell>
        </row>
        <row r="95">
          <cell r="B95" t="str">
            <v>litres</v>
          </cell>
          <cell r="C95" t="str">
            <v>litres</v>
          </cell>
        </row>
        <row r="96">
          <cell r="B96" t="str">
            <v>aux 100</v>
          </cell>
          <cell r="C96" t="str">
            <v>per 100 km</v>
          </cell>
        </row>
        <row r="97">
          <cell r="B97" t="str">
            <v>kg CO2-e</v>
          </cell>
          <cell r="C97" t="str">
            <v>kg CO2-e</v>
          </cell>
        </row>
        <row r="98">
          <cell r="B98" t="str">
            <v>par litre</v>
          </cell>
          <cell r="C98" t="str">
            <v>per litre</v>
          </cell>
        </row>
        <row r="99">
          <cell r="B99" t="str">
            <v>t</v>
          </cell>
          <cell r="C99" t="str">
            <v>t</v>
          </cell>
        </row>
        <row r="100">
          <cell r="B100" t="str">
            <v>CO2-e</v>
          </cell>
          <cell r="C100" t="str">
            <v>CO2-e</v>
          </cell>
        </row>
        <row r="101">
          <cell r="B101" t="str">
            <v>EMISSIONS PAR ORIGINE</v>
          </cell>
          <cell r="C101" t="str">
            <v>EMISSIONS BY ORIGIN</v>
          </cell>
        </row>
        <row r="102">
          <cell r="B102" t="str">
            <v>Emissions directes des moyens de transport détenus en propre ou opérés par l'entité effectuant le reporting</v>
          </cell>
          <cell r="C102" t="str">
            <v>Direct emissions from transportation vehicles owned or operated by the reporting entity</v>
          </cell>
        </row>
        <row r="103">
          <cell r="B103" t="str">
            <v>Emissions associées à la production d'électricité consommée par des véhicules électriques ou hybrides opérés par l'entité</v>
          </cell>
          <cell r="C103" t="str">
            <v>Emissions due to the production of electricity that is used by the electric or hybrid vehicles operated by the entity</v>
          </cell>
        </row>
        <row r="104">
          <cell r="B104" t="str">
            <v>Emissions des moyens de transport détenus ou opérés par un sous-traitant de l'entité effectuant le reporting</v>
          </cell>
          <cell r="C104" t="str">
            <v>Emissions of transport means owned or operated by a sub-contractor of the entity performing the inventory</v>
          </cell>
        </row>
        <row r="105">
          <cell r="B105" t="str">
            <v>Total émissions</v>
          </cell>
          <cell r="C105" t="str">
            <v>Total emissions</v>
          </cell>
        </row>
        <row r="106">
          <cell r="B106" t="str">
            <v>tonnes CO2-e</v>
          </cell>
          <cell r="C106" t="str">
            <v>tonnes CO2-e</v>
          </cell>
        </row>
        <row r="107">
          <cell r="B107" t="str">
            <v>Synthèse</v>
          </cell>
          <cell r="C107" t="str">
            <v>Global balance</v>
          </cell>
        </row>
        <row r="108">
          <cell r="B108" t="str">
            <v>France, usage Transport</v>
          </cell>
          <cell r="C108" t="str">
            <v>France, Transport use</v>
          </cell>
        </row>
        <row r="109">
          <cell r="C109">
            <v>108</v>
          </cell>
        </row>
        <row r="110">
          <cell r="C110">
            <v>109</v>
          </cell>
        </row>
        <row r="111">
          <cell r="C111">
            <v>110</v>
          </cell>
        </row>
        <row r="112">
          <cell r="C112">
            <v>111</v>
          </cell>
        </row>
        <row r="113">
          <cell r="C113">
            <v>112</v>
          </cell>
        </row>
        <row r="114">
          <cell r="C114">
            <v>113</v>
          </cell>
        </row>
        <row r="115">
          <cell r="C115">
            <v>114</v>
          </cell>
        </row>
        <row r="116">
          <cell r="C116">
            <v>115</v>
          </cell>
        </row>
        <row r="117">
          <cell r="C117">
            <v>116</v>
          </cell>
        </row>
        <row r="118">
          <cell r="C118">
            <v>117</v>
          </cell>
        </row>
        <row r="119">
          <cell r="C119">
            <v>118</v>
          </cell>
        </row>
        <row r="120">
          <cell r="C120">
            <v>119</v>
          </cell>
        </row>
        <row r="121">
          <cell r="C121">
            <v>120</v>
          </cell>
        </row>
        <row r="122">
          <cell r="C122">
            <v>121</v>
          </cell>
        </row>
        <row r="123">
          <cell r="C123">
            <v>122</v>
          </cell>
        </row>
        <row r="124">
          <cell r="C124">
            <v>123</v>
          </cell>
        </row>
        <row r="125">
          <cell r="C125">
            <v>124</v>
          </cell>
        </row>
        <row r="126">
          <cell r="C126">
            <v>125</v>
          </cell>
        </row>
        <row r="127">
          <cell r="C127">
            <v>126</v>
          </cell>
        </row>
        <row r="128">
          <cell r="C128">
            <v>127</v>
          </cell>
        </row>
        <row r="129">
          <cell r="C129">
            <v>128</v>
          </cell>
        </row>
        <row r="130">
          <cell r="C130">
            <v>129</v>
          </cell>
        </row>
        <row r="131">
          <cell r="C131">
            <v>130</v>
          </cell>
        </row>
        <row r="132">
          <cell r="B132" t="str">
            <v>EMISSIONS DE GAZ A EFFET DE SERRE DIRECTES (CONSOMMATION DE COMBUSTIBLE) ET INDIRECTES (CONSOMMATION D'ELECTRICITE ET ENERGIE THERMIQUE)
(NON SPECIFIQUES A LA FILIERE)</v>
          </cell>
          <cell r="C132" t="str">
            <v>DIRECT GREENHOUSE GAS EMISSIONS (FUEL CONSUMPTION) AND INDIRECT EMISSIONS (ELECTRICITY AND THERMAL ENERGY CONSUMPTION)
(NOT SECTOR SPECIFIC)</v>
          </cell>
        </row>
        <row r="133">
          <cell r="B133" t="str">
            <v>CODE COULEURS :</v>
          </cell>
          <cell r="C133" t="str">
            <v>COLOUR CODE:</v>
          </cell>
        </row>
        <row r="134">
          <cell r="B134" t="str">
            <v>Valeurs par défaut</v>
          </cell>
          <cell r="C134" t="str">
            <v>Default values</v>
          </cell>
        </row>
        <row r="135">
          <cell r="B135" t="str">
            <v>Valeurs calculées</v>
          </cell>
          <cell r="C135" t="str">
            <v>Calculated values</v>
          </cell>
        </row>
        <row r="136">
          <cell r="B136" t="str">
            <v>Valeurs à saisir</v>
          </cell>
          <cell r="C136" t="str">
            <v>Values to enter</v>
          </cell>
        </row>
        <row r="137">
          <cell r="B137" t="str">
            <v>Ce module s'adresse à l'ensemble des consommations d'énergie, quelle que soit la filière de traitement suivie : il peut s'agir des consommations de combustible en appoint sur les incinérateurs, pour le fonctionnement de moteurs ou turbines sur des CSD, l'</v>
          </cell>
          <cell r="C137" t="str">
            <v>This sheet is intended for all energy consumption, whatever the waste treatment method is: it can be additional fuel consumption for incinerators or for engines or turbines in landfills, the use of liquid fuel, gas or electricity in wastewater treatment p</v>
          </cell>
        </row>
        <row r="138">
          <cell r="B138" t="str">
            <v>Emissions directes liées aux installations de combustion fixes et aux équipements mobiles sur site</v>
          </cell>
          <cell r="C138" t="str">
            <v>Direct emissions from permanent combustion facilities and on-site mobile equipment</v>
          </cell>
        </row>
        <row r="139">
          <cell r="B139" t="str">
            <v>1 - Calcul à partir des tonnages de combustibles</v>
          </cell>
          <cell r="C139" t="str">
            <v>1 - Calculation from fuels tonnages</v>
          </cell>
        </row>
        <row r="140">
          <cell r="B140" t="str">
            <v>Type de combustible</v>
          </cell>
          <cell r="C140" t="str">
            <v>Fuel type</v>
          </cell>
        </row>
        <row r="141">
          <cell r="B141" t="str">
            <v>Fioul domestique</v>
          </cell>
          <cell r="C141" t="str">
            <v>Gas oil</v>
          </cell>
        </row>
        <row r="142">
          <cell r="B142" t="str">
            <v>Gasoil</v>
          </cell>
          <cell r="C142" t="str">
            <v xml:space="preserve">Diesel </v>
          </cell>
        </row>
        <row r="143">
          <cell r="B143" t="str">
            <v>Fioul lourd</v>
          </cell>
          <cell r="C143" t="str">
            <v>Heavy Fuel oil</v>
          </cell>
        </row>
        <row r="144">
          <cell r="B144" t="str">
            <v>Gaz naturel</v>
          </cell>
          <cell r="C144" t="str">
            <v>Natural gas</v>
          </cell>
        </row>
        <row r="145">
          <cell r="B145" t="str">
            <v>Autres (à préciser)</v>
          </cell>
          <cell r="C145" t="str">
            <v>Others (to be specified)</v>
          </cell>
        </row>
        <row r="146">
          <cell r="B146" t="str">
            <v>Quantité utilisée</v>
          </cell>
          <cell r="C146" t="str">
            <v>Used quantities</v>
          </cell>
        </row>
        <row r="147">
          <cell r="B147" t="str">
            <v>Facteur d'émission</v>
          </cell>
          <cell r="C147" t="str">
            <v>Emission factor</v>
          </cell>
        </row>
        <row r="148">
          <cell r="B148" t="str">
            <v>Emissions brutes prises en compte</v>
          </cell>
          <cell r="C148" t="str">
            <v>CO2 gross accounting</v>
          </cell>
        </row>
        <row r="149">
          <cell r="B149" t="str">
            <v>Prise en compte</v>
          </cell>
          <cell r="C149" t="str">
            <v>Accounting</v>
          </cell>
        </row>
        <row r="150">
          <cell r="B150" t="str">
            <v>Emissions directes</v>
          </cell>
          <cell r="C150" t="str">
            <v>CO2 net emissions</v>
          </cell>
        </row>
        <row r="151">
          <cell r="B151" t="str">
            <v>brutes de CO2</v>
          </cell>
          <cell r="C151" t="str">
            <v>direct emissions</v>
          </cell>
        </row>
        <row r="152">
          <cell r="B152" t="str">
            <v>nettes de CO2</v>
          </cell>
          <cell r="C152" t="str">
            <v>direct emissions</v>
          </cell>
        </row>
        <row r="153">
          <cell r="B153" t="str">
            <v>tonnes</v>
          </cell>
          <cell r="C153" t="str">
            <v>tons</v>
          </cell>
        </row>
        <row r="154">
          <cell r="B154" t="str">
            <v>2 - Calcul à partir des volumes de combustibles</v>
          </cell>
          <cell r="C154" t="str">
            <v>2 - Calculation from fuels' volume</v>
          </cell>
        </row>
        <row r="155">
          <cell r="B155" t="str">
            <v>(0 ou 100 %)</v>
          </cell>
          <cell r="C155" t="str">
            <v>(0 or 100%)</v>
          </cell>
        </row>
        <row r="156">
          <cell r="B156" t="str">
            <v>* les facteurs par défaut sont ceux du GIEC - Vous pouvez les modifier (voir autres facteurs à l'onglet 'Facteurs')</v>
          </cell>
          <cell r="C156" t="str">
            <v>* default factors are the GIEC factors. These can be revised (see other factors in the 'Factors' thumbnail)</v>
          </cell>
        </row>
        <row r="157">
          <cell r="B157" t="str">
            <v>Emissions indirectes</v>
          </cell>
          <cell r="C157" t="str">
            <v>Indirect emissions</v>
          </cell>
        </row>
        <row r="158">
          <cell r="B158" t="str">
            <v>3 - Emissions indirectes liées à la consommation d'électricité ou de chaleur achetée</v>
          </cell>
          <cell r="C158" t="str">
            <v>3 - Indirect emissions from electricity or purchased heat consumption</v>
          </cell>
        </row>
        <row r="159">
          <cell r="B159" t="str">
            <v>Zone de production de l'électricité</v>
          </cell>
          <cell r="C159" t="str">
            <v xml:space="preserve">Consumed electricy </v>
          </cell>
        </row>
        <row r="160">
          <cell r="B160" t="str">
            <v xml:space="preserve"> ou de la chaleur consommée</v>
          </cell>
          <cell r="C160" t="str">
            <v>or heat production area</v>
          </cell>
        </row>
        <row r="161">
          <cell r="B161" t="str">
            <v>* voir les facteurs proposés à l'onglet 'Facteurs'</v>
          </cell>
          <cell r="C161" t="str">
            <v>* see factors given in the 'Factors' tab</v>
          </cell>
        </row>
        <row r="162">
          <cell r="B162" t="str">
            <v>Emissions indirectes nettes</v>
          </cell>
          <cell r="C162" t="str">
            <v>Indirect net emissions</v>
          </cell>
        </row>
        <row r="163">
          <cell r="B163" t="str">
            <v>Emissions directes de CO2</v>
          </cell>
          <cell r="C163" t="str">
            <v>Direct CO2 emissions</v>
          </cell>
        </row>
        <row r="164">
          <cell r="C164">
            <v>163</v>
          </cell>
        </row>
        <row r="165">
          <cell r="C165">
            <v>164</v>
          </cell>
        </row>
        <row r="166">
          <cell r="C166">
            <v>165</v>
          </cell>
        </row>
        <row r="167">
          <cell r="C167">
            <v>166</v>
          </cell>
        </row>
        <row r="168">
          <cell r="C168">
            <v>167</v>
          </cell>
        </row>
        <row r="169">
          <cell r="C169">
            <v>168</v>
          </cell>
        </row>
        <row r="170">
          <cell r="C170">
            <v>169</v>
          </cell>
        </row>
        <row r="171">
          <cell r="C171">
            <v>170</v>
          </cell>
        </row>
        <row r="172">
          <cell r="C172">
            <v>171</v>
          </cell>
        </row>
        <row r="173">
          <cell r="C173">
            <v>172</v>
          </cell>
        </row>
        <row r="174">
          <cell r="C174">
            <v>173</v>
          </cell>
        </row>
        <row r="175">
          <cell r="C175">
            <v>174</v>
          </cell>
        </row>
        <row r="176">
          <cell r="C176">
            <v>175</v>
          </cell>
        </row>
        <row r="177">
          <cell r="C177">
            <v>176</v>
          </cell>
        </row>
        <row r="178">
          <cell r="C178">
            <v>177</v>
          </cell>
        </row>
        <row r="179">
          <cell r="C179">
            <v>178</v>
          </cell>
        </row>
        <row r="180">
          <cell r="C180">
            <v>179</v>
          </cell>
        </row>
        <row r="181">
          <cell r="B181" t="str">
            <v>EMISSIONS DE GAZ A EFFET DE SERRE LIEES AUX CSD 
(CENTRE DE STOCKAGE / MISE EN DECHARGE DES DECHETS)</v>
          </cell>
          <cell r="C181" t="str">
            <v>GREENHOUSE GAS EMISSIONS FROM LANDFILLS 
(LANDFILLING)</v>
          </cell>
        </row>
        <row r="182">
          <cell r="B182" t="str">
            <v>Emissions directes liées aux CSD</v>
          </cell>
          <cell r="C182" t="str">
            <v>Direct emissions from landfills</v>
          </cell>
        </row>
        <row r="183">
          <cell r="B183" t="str">
            <v>1 - Calcul à partir de modèles existants</v>
          </cell>
          <cell r="C183" t="str">
            <v>1 - Calculation from existing models</v>
          </cell>
        </row>
        <row r="184">
          <cell r="B184" t="str">
            <v>Afin de calculer les émissions de GES des centres de stockage de déchets, l'entité se référera aux méthodologies réglementaires préconisées par les autorités administratives du pays où est situé le(s) site(s).</v>
          </cell>
          <cell r="C184" t="str">
            <v xml:space="preserve">To calculate GHG emissions from landfills the entity should refer to the regulatory methologies recommended  by the competent authorities of the country where the site(s) is (are) located. </v>
          </cell>
        </row>
        <row r="185">
          <cell r="B185" t="str">
            <v>Par défaut, l'entité pourra employer l'un des modèles ci-dessous.</v>
          </cell>
          <cell r="C185" t="str">
            <v>By default, the entity could use one of the following models.</v>
          </cell>
        </row>
        <row r="186">
          <cell r="B186" t="str">
            <v>France</v>
          </cell>
          <cell r="C186" t="str">
            <v>France</v>
          </cell>
        </row>
        <row r="187">
          <cell r="B187" t="str">
            <v>USA</v>
          </cell>
          <cell r="C187" t="str">
            <v>USA</v>
          </cell>
        </row>
        <row r="188">
          <cell r="B188" t="str">
            <v>Royaume Uni</v>
          </cell>
          <cell r="C188" t="str">
            <v>United Kingdom</v>
          </cell>
        </row>
        <row r="189">
          <cell r="B189" t="str">
            <v>GIEC</v>
          </cell>
          <cell r="C189" t="str">
            <v>IPCC</v>
          </cell>
        </row>
        <row r="190">
          <cell r="B190" t="str">
            <v>Modèle ADEME</v>
          </cell>
          <cell r="C190" t="str">
            <v>ADEME Model</v>
          </cell>
        </row>
        <row r="191">
          <cell r="B191" t="str">
            <v>LandGEM</v>
          </cell>
          <cell r="C191" t="str">
            <v>LandGEM</v>
          </cell>
        </row>
        <row r="192">
          <cell r="B192" t="str">
            <v>GasSIM</v>
          </cell>
          <cell r="C192" t="str">
            <v>GasSIM</v>
          </cell>
        </row>
        <row r="193">
          <cell r="B193" t="str">
            <v>Modèle Tier II</v>
          </cell>
          <cell r="C193" t="str">
            <v>Tier II Model</v>
          </cell>
        </row>
        <row r="194">
          <cell r="B194" t="str">
            <v>"Outil de calcul des émissions dans l’air de CH4, CO2, SOx, NOx
issues des centres de stockage de déchets ménagers et assimilés"</v>
          </cell>
          <cell r="C194" t="str">
            <v>"Outil de calcul des émissions dans l’air de CH4, CO2, SOx, NOx
issues des centres de stockage de déchets ménagers et assimilés"</v>
          </cell>
        </row>
        <row r="195">
          <cell r="B195" t="str">
            <v>www.epa.gov/ttn/catc/products.html</v>
          </cell>
          <cell r="C195" t="str">
            <v>www.epa.gov/ttn/catc/products.html</v>
          </cell>
        </row>
        <row r="196">
          <cell r="B196" t="str">
            <v>www.gassim.co.uk/</v>
          </cell>
          <cell r="C196" t="str">
            <v>www.gassim.co.uk/</v>
          </cell>
        </row>
        <row r="197">
          <cell r="B197" t="str">
            <v>http://www.ipcc-nggip.iges.or.jp/public/gl/invs1.htm</v>
          </cell>
          <cell r="C197" t="str">
            <v>http://www.ipcc-nggip.iges.or.jp/public/gl/invs1.htm</v>
          </cell>
        </row>
        <row r="198">
          <cell r="B198" t="str">
            <v>Le calcul sera effectué pour les sites en activité</v>
          </cell>
          <cell r="C198" t="str">
            <v>Calculation to be made for operating sites.</v>
          </cell>
        </row>
        <row r="199">
          <cell r="B199" t="str">
            <v>2 - Calcul à partir d'un modèle développé en interne</v>
          </cell>
          <cell r="C199" t="str">
            <v>2 - Calculation from a model drawn up internally</v>
          </cell>
        </row>
        <row r="200">
          <cell r="B200" t="str">
            <v>Un exploitant peut avoir recours à un autre modèle que ceux listés ci-dessus. Ce modèle doit présenter a minima les caractéristiques suivantes :</v>
          </cell>
          <cell r="C200" t="str">
            <v>An operator could use a different model from the ones listed above. This model needs to present at least the following caracteristics:</v>
          </cell>
        </row>
        <row r="201">
          <cell r="B201" t="str">
            <v xml:space="preserve">1) Ce modèle doit faire appel à une équation cinétique sur le modèle de celle rappelée ci-dessous à titre d'exemple </v>
          </cell>
          <cell r="C201" t="str">
            <v xml:space="preserve">1) This model has to resort to a kinetic equation on the model of the equation presented below as an example </v>
          </cell>
        </row>
        <row r="202">
          <cell r="B202" t="str">
            <v>Quantité de méthane produite par an (Nm3 / an)</v>
          </cell>
          <cell r="C202" t="str">
            <v>Quantity of methane produced per year (Nm3/year)</v>
          </cell>
        </row>
        <row r="203">
          <cell r="B203" t="str">
            <v>pouvoir méthanogène (Nm3 CH4 / t de déchets)</v>
          </cell>
          <cell r="C203" t="str">
            <v>methane generation potential (Nm3 CH4 / t of waste)</v>
          </cell>
        </row>
        <row r="204">
          <cell r="B204" t="str">
            <v>tonnage de déchets enfouis (t)</v>
          </cell>
          <cell r="C204" t="str">
            <v>tonnes of landfilled waste (t)</v>
          </cell>
        </row>
        <row r="205">
          <cell r="B205" t="str">
            <v>constante cinétique (an-1)</v>
          </cell>
          <cell r="C205" t="str">
            <v>kinetic constant (year-1)</v>
          </cell>
        </row>
        <row r="206">
          <cell r="B206" t="str">
            <v>année où les déchets ont été enfouis</v>
          </cell>
          <cell r="C206" t="str">
            <v>year when waste was landfilled</v>
          </cell>
        </row>
        <row r="207">
          <cell r="B207" t="str">
            <v>année de l’inventaire des émissions (t ≥ x)</v>
          </cell>
          <cell r="C207" t="str">
            <v>year of emissions inventory (t ≥ x)</v>
          </cell>
        </row>
        <row r="208">
          <cell r="B208" t="str">
            <v>2) Il ne doit pas avoir recours à des facteurs d'émissions directs appliqués aux tonnages de déchets</v>
          </cell>
          <cell r="C208" t="str">
            <v>2) It should not resort to direct emission factors that would be applied to waste tonnages</v>
          </cell>
        </row>
        <row r="209">
          <cell r="B209" t="str">
            <v>3) Il doit tenir compte de la composition des déchets</v>
          </cell>
          <cell r="C209" t="str">
            <v>3) It should consider waste's composition</v>
          </cell>
        </row>
        <row r="210">
          <cell r="B210" t="str">
            <v>4) Il doit clairement préciser les règles de prise en compte des émissions diffuses et des facteurs d'oxydation</v>
          </cell>
          <cell r="C210" t="str">
            <v>4) It should clearly specify the rules followed for diffuse emissions and oxidation factors</v>
          </cell>
        </row>
        <row r="211">
          <cell r="B211" t="str">
            <v>5) Il doit être publié, reconnu et disponible dans la litérature scientifique et technique</v>
          </cell>
          <cell r="C211" t="str">
            <v>5) It should be published, accepted and available in scientific and technical papers</v>
          </cell>
        </row>
        <row r="212">
          <cell r="B212" t="str">
            <v xml:space="preserve">6) La teneur en méthane du biogaz doit être basée sur des analyses spécifiques et doit éviter autant que possible </v>
          </cell>
          <cell r="C212" t="str">
            <v>6) The methane content of biogas should be based on specific analysis and avoid standard values as much as possible</v>
          </cell>
        </row>
        <row r="213">
          <cell r="B213" t="str">
            <v>les valeurs standards</v>
          </cell>
        </row>
        <row r="214">
          <cell r="B214" t="str">
            <v>3 - Calcul des émissions de CO2 liées aux combustibles utilisés</v>
          </cell>
          <cell r="C214" t="str">
            <v>3 - Calculation of CO2 emissions from used fuels</v>
          </cell>
        </row>
        <row r="215">
          <cell r="B215" t="str">
            <v>Si vous utilisez des combustibles fossiles pour alimenter des installations thermiques (moteurs, compresseurs, chaudières…), vous devez calculer les émissions correspondantes à l'onglet 'Comb &amp; Indirectes'.</v>
          </cell>
          <cell r="C215" t="str">
            <v>If you use fossil fuels to feed thermal facilities (engines, compressors, boilers…), you should calculate the corresponding emissions  using  the "Comb &amp; Indirect thumbnail"</v>
          </cell>
        </row>
        <row r="216">
          <cell r="B216" t="str">
            <v xml:space="preserve">4 - Présentation des quatre modèles théoriques </v>
          </cell>
          <cell r="C216" t="str">
            <v>4 - Presentation of the four theoretical models</v>
          </cell>
        </row>
        <row r="217">
          <cell r="B217" t="str">
            <v xml:space="preserve">Résumé des quatre modèles théoriques de production et d’émission de méthane </v>
          </cell>
          <cell r="C217" t="str">
            <v>Summary of the four methane production and emission theoretical models</v>
          </cell>
        </row>
        <row r="218">
          <cell r="B218" t="str">
            <v>* Facteur de normalisation assurant que la somme des valeurs discrètes sur chaque année équivaut au potentiel de CH4 pouvant être émis par un déchet pour une dégradation complète, Ai = (1- e-ki)/ki. Ce facteur est toujours inférieur à l’unité et réduit la</v>
          </cell>
          <cell r="C218" t="str">
            <v>* Normalisation factor to assure that the sum of the discrete values for each year are equal to the CH4 generation potential for the waste's complete degradation, Ai = (1- e-ki)/ki. This factor is always &lt;1 and reduces the production calculated through th</v>
          </cell>
        </row>
        <row r="219">
          <cell r="B219" t="str">
            <v xml:space="preserve">° La constante de vitesse de dégradation (k) se rapporte au temps requis pour que le carbone organique dégradable contenu dans les déchets se dégrade jusqu’à la moitié de sa masse initiale (la ‘demi-vie’ ou t½) : </v>
          </cell>
          <cell r="C219" t="str">
            <v>* The kinetic decay constant (k) refers to the time reuired for the degradable organic carbon contained in the waste to decay until half of its initial mass ("half-time" or  t½).</v>
          </cell>
        </row>
        <row r="220">
          <cell r="B220" t="str">
            <v>Modèle</v>
          </cell>
          <cell r="C220" t="str">
            <v>Model</v>
          </cell>
        </row>
        <row r="221">
          <cell r="B221" t="str">
            <v>Equation calcul de la production de méthane</v>
          </cell>
          <cell r="C221" t="str">
            <v>Methane production calculation equation</v>
          </cell>
        </row>
        <row r="222">
          <cell r="B222" t="str">
            <v>Paramètres principaux</v>
          </cell>
          <cell r="C222" t="str">
            <v>Major parameters</v>
          </cell>
        </row>
        <row r="223">
          <cell r="B223" t="str">
            <v>k° (ans-1)</v>
          </cell>
          <cell r="C223" t="str">
            <v>k° (year-1)</v>
          </cell>
        </row>
        <row r="224">
          <cell r="B224" t="str">
            <v>Potentiel méthane L0 (Nm3 CH4 / t)</v>
          </cell>
          <cell r="C224" t="str">
            <v>Methane generation potential L0 (Nm3 CH4 / t)</v>
          </cell>
        </row>
        <row r="225">
          <cell r="B225" t="str">
            <v>Calcul des émissions</v>
          </cell>
          <cell r="C225" t="str">
            <v>Emissions calculation</v>
          </cell>
        </row>
        <row r="226">
          <cell r="B226" t="str">
            <v>GIEC 
(Tier 2)
Ordre 1
(GIEC, 2005)</v>
          </cell>
          <cell r="C226" t="str">
            <v xml:space="preserve">GIEC 
(Tier 2)
First order decay model
(GIEC, 2005)
</v>
          </cell>
        </row>
        <row r="227">
          <cell r="B227" t="str">
            <v>ADEME
Ordre 1
multiphase
(Taramini, 2002)</v>
          </cell>
          <cell r="C227" t="str">
            <v>ADEME
First order
multiphase
(Taramini, 2002)</v>
          </cell>
        </row>
        <row r="228">
          <cell r="B228" t="str">
            <v>GasSIM
Ordre 1
multiphase
(UK, 2005)</v>
          </cell>
          <cell r="C228" t="str">
            <v xml:space="preserve">GasSIM
First order
multiphase
(UK, 2005)
</v>
          </cell>
        </row>
        <row r="229">
          <cell r="B229" t="str">
            <v>LandGEM
Ordre 1
(US-EPA, 2005)</v>
          </cell>
          <cell r="C229" t="str">
            <v>LandGEM
First order
(US-EPA, 2005)</v>
          </cell>
        </row>
        <row r="230">
          <cell r="B230" t="str">
            <v xml:space="preserve">A = facteur de normalisation*
DSMT = Total de déchets municipaux produits
DSMF= Fraction mise en ISD
</v>
          </cell>
          <cell r="C230" t="str">
            <v>A = normalisation factor*
DSMT = Total MSW produced
DSMF= Fraction of total MSW disposed in landfill</v>
          </cell>
        </row>
        <row r="231">
          <cell r="B231" t="str">
            <v>Ai= facteur de normalisation*
pi= fraction des déchets ayant une constante de dégradation ki</v>
          </cell>
          <cell r="C231" t="str">
            <v xml:space="preserve">Ai= normalisation factor*
pi= fraction of waste with a methane generation rate constant ki
</v>
          </cell>
        </row>
        <row r="232">
          <cell r="B232" t="str">
            <v xml:space="preserve">C = quantité de carbone dégradable
</v>
          </cell>
          <cell r="C232" t="str">
            <v>C = quantity of degradable carbon</v>
          </cell>
        </row>
        <row r="233">
          <cell r="B233" t="str">
            <v>M= Quantité de déchets mis en ISD</v>
          </cell>
          <cell r="C233" t="str">
            <v>M= Quantity of waste disposed in landfill</v>
          </cell>
        </row>
        <row r="234">
          <cell r="B234" t="str">
            <v>Avec:
FCM= facteur de correction de CH4 
F (fraction CH4 dans biogaz) = 0.5
COD= carbone organique dégradable calculé à partir des flux de déchets</v>
          </cell>
          <cell r="C234" t="str">
            <v xml:space="preserve">
With :
FCM= Methane correction factor 
F (fraction of CH4 in landfill gas) = 0.5
COD= degradable organic carbon, based on the waste's flow</v>
          </cell>
        </row>
        <row r="235">
          <cell r="B235" t="str">
            <v xml:space="preserve">FE0= 100 (OM) et 50 (DIB) </v>
          </cell>
          <cell r="C235" t="str">
            <v xml:space="preserve">FE0= 100 (MSW) et 50 (Non hazardous industrial waste) </v>
          </cell>
        </row>
        <row r="236">
          <cell r="B236" t="str">
            <v>Calculé par le modèle basé sur la composition des déchets</v>
          </cell>
          <cell r="C236" t="str">
            <v>Calculated by the model according to waste's composition</v>
          </cell>
        </row>
        <row r="237">
          <cell r="B237" t="str">
            <v>100 (Inv) Reporting dans le cadre de l’inventaire d’émissions des polluants de EPA 
170 (CAA) l’EPA  Contrôle d’émissions dans le cadre du "Clean Air Act"</v>
          </cell>
          <cell r="C237" t="str">
            <v xml:space="preserve">100 (Inv) US EPA's pollutants' emissions inventory
170 (CAA) Emissions control within the US Clean Air Act </v>
          </cell>
        </row>
        <row r="238">
          <cell r="B238" t="str">
            <v xml:space="preserve">Production théorique – volume collecté *(1-taux d’oxydation) 
Oxydation = 10 % (défaut)
</v>
          </cell>
          <cell r="C238" t="str">
            <v>Theoretical production – collected volume * (1-oxidation rate) 
Oxidation = 10 % (default)</v>
          </cell>
        </row>
        <row r="239">
          <cell r="B239" t="str">
            <v>En fonction d’un taux de collecte théorique défini par type de zone+ 10% d’oxydation
Zone et taux de collecte :
- en exploitation : 35%
- couverture semi-perméable: 65%
- couverture imperméable naturelle : 85%
- géomembrane : 90%</v>
          </cell>
          <cell r="C239" t="str">
            <v>Depending on a theoretical collection rate, defined by zone, + 10% oxidation
Collection rate by zone :
- in operation : 35%
- semi-permeable cover : 65%
- natural impermeable cover :85%
- geomembrane : 90%</v>
          </cell>
        </row>
        <row r="240">
          <cell r="B240" t="str">
            <v>Calculé par le logiciel en fonction des types de couvertures</v>
          </cell>
          <cell r="C240" t="str">
            <v>Calculated by the software according to the cover type</v>
          </cell>
        </row>
        <row r="241">
          <cell r="B241" t="str">
            <v>Production théorique – volume collecté *(1-taux d’oxydation)
Oxydation = 10 % (défaut)</v>
          </cell>
          <cell r="C241" t="str">
            <v xml:space="preserve">Theoretical production – collected volume * (1-oxidation rate) 
Oxidation = 10 % (default)
</v>
          </cell>
        </row>
        <row r="242">
          <cell r="B242" t="str">
            <v>EMISSIONS DE GAZ A EFFET DE SERRE LIEES AUX INCINERATEURS</v>
          </cell>
          <cell r="C242" t="str">
            <v>GREENHOUSE GAS EMISSIONS FROM INCINERATORS</v>
          </cell>
        </row>
        <row r="243">
          <cell r="B243" t="str">
            <v>Deux méthodes sont proposées pour le calcul des émissions de CO2 liées à l'incinération : à partir des tonnages brûlés et à partir des mesures de fumées. L'utilisation des mesures est possible si l'exploitant montre que l'incertitude du résultat est infér</v>
          </cell>
          <cell r="C243" t="str">
            <v>Two methods are presented to calculate CO2 emissions from incineration: from  tonnage of  waste combusted and from flue gas monitoring. Measurement use is possible if the operating manager shows that the result's uncertainty is below that of the first met</v>
          </cell>
        </row>
        <row r="244">
          <cell r="B244" t="str">
            <v xml:space="preserve">ATTENTION : l’utilisateur devra éviter tout double compte : 
● La mise en œuvre d’un calcul basé sur le tonnage incinéré nécessite de remplir l’onglet concernant l’incinération ainsi que l’onglet concernant les combustibles fossiles utilisés en appoint
● </v>
          </cell>
          <cell r="C244" t="str">
            <v>BEWARE: the user should avoid any double counting
● The implementation of a calculation based on incinerated tonnage requires to fill the tab concerning incineration as well as the tab concerning eventual additional fossil fuels
● On the opposite, flue ga</v>
          </cell>
        </row>
        <row r="245">
          <cell r="B245" t="str">
            <v>Emissions directes liées aux incinérateurs - CO2</v>
          </cell>
          <cell r="C245" t="str">
            <v>Direct emissions from incinerators - CO2</v>
          </cell>
        </row>
        <row r="246">
          <cell r="B246" t="str">
            <v>1 - Calcul des émissions de CO2 des déchets à partir des tonnages de déchets incinérés</v>
          </cell>
          <cell r="C246" t="str">
            <v>1 - Calculation of waste CO2 emissions based on the tonnages of incinerated waste</v>
          </cell>
        </row>
        <row r="247">
          <cell r="B247" t="str">
            <v>Facteur d'émissions tenant compte de la teneur en carbone biogénique</v>
          </cell>
          <cell r="C247" t="str">
            <v>Emission factors that consider biogenic carbon content</v>
          </cell>
        </row>
        <row r="248">
          <cell r="B248" t="str">
            <v>Quantité incinérée</v>
          </cell>
          <cell r="C248" t="str">
            <v>Incinerated quantity</v>
          </cell>
        </row>
        <row r="249">
          <cell r="B249" t="str">
            <v>Facteur d'émission</v>
          </cell>
          <cell r="C249" t="str">
            <v>Emissions factor</v>
          </cell>
        </row>
        <row r="250">
          <cell r="B250" t="str">
            <v>Type de déchet incinéré</v>
          </cell>
          <cell r="C250" t="str">
            <v>Incinerated waste type</v>
          </cell>
        </row>
        <row r="251">
          <cell r="B251" t="str">
            <v>Ordures ménagères</v>
          </cell>
          <cell r="C251" t="str">
            <v>Household waste</v>
          </cell>
        </row>
        <row r="252">
          <cell r="B252" t="str">
            <v>Déchets industriels banals</v>
          </cell>
          <cell r="C252" t="str">
            <v>Non-hazardous industrial waste</v>
          </cell>
        </row>
        <row r="253">
          <cell r="B253" t="str">
            <v>Déchets dangereux</v>
          </cell>
          <cell r="C253" t="str">
            <v>Hazardous waste</v>
          </cell>
        </row>
        <row r="254">
          <cell r="B254" t="str">
            <v>Autres (type de déchet à préciser; les facteurs d'émissions retenus doivent être documentés)</v>
          </cell>
          <cell r="C254" t="str">
            <v>Others (waste type to be specified; the chosen emission factors need to be documented)</v>
          </cell>
        </row>
        <row r="255">
          <cell r="B255" t="str">
            <v>Emissions nettes</v>
          </cell>
          <cell r="C255" t="str">
            <v>Net emissions</v>
          </cell>
        </row>
        <row r="256">
          <cell r="B256" t="str">
            <v>Facteur d'émissions NE tenant PAS compte de la teneur en carbone biogénique</v>
          </cell>
          <cell r="C256" t="str">
            <v>Emission  factors that do NOT consider biogenic carbon content</v>
          </cell>
        </row>
        <row r="257">
          <cell r="B257" t="str">
            <v>Facteurs d'émissions de N2O par défaut pour différents types de déchets et différentes pratiques d'exploitation</v>
          </cell>
          <cell r="C257" t="str">
            <v>Default N2O emission factors for different types of waste and management practices</v>
          </cell>
        </row>
        <row r="258">
          <cell r="B258" t="str">
            <v>Type de déchets</v>
          </cell>
          <cell r="C258" t="str">
            <v>Type of waste</v>
          </cell>
        </row>
        <row r="259">
          <cell r="B259" t="str">
            <v>OM</v>
          </cell>
          <cell r="C259" t="str">
            <v>MSW</v>
          </cell>
        </row>
        <row r="260">
          <cell r="B260" t="str">
            <v>Déchets industriels</v>
          </cell>
          <cell r="C260" t="str">
            <v>Industrial waste</v>
          </cell>
        </row>
        <row r="261">
          <cell r="B261" t="str">
            <v>Boues (sauf boues d'épuration)</v>
          </cell>
          <cell r="C261" t="str">
            <v>Sludge (except sewage sludge)</v>
          </cell>
        </row>
        <row r="262">
          <cell r="B262" t="str">
            <v>Boues d'épuration</v>
          </cell>
          <cell r="C262" t="str">
            <v>Sewage sludge</v>
          </cell>
        </row>
        <row r="263">
          <cell r="B263" t="str">
            <v>Technologie / Pratique d'exploitation</v>
          </cell>
          <cell r="C263" t="str">
            <v>Technology / Management practice</v>
          </cell>
        </row>
        <row r="264">
          <cell r="B264" t="str">
            <v xml:space="preserve">Incinérateurs continus et semi-continus </v>
          </cell>
          <cell r="C264" t="str">
            <v>Continuous and semi-continuous incinerators</v>
          </cell>
        </row>
        <row r="265">
          <cell r="B265" t="str">
            <v>Incinérateurs de type "batch"</v>
          </cell>
          <cell r="C265" t="str">
            <v>Batch-type incinerators</v>
          </cell>
        </row>
        <row r="266">
          <cell r="B266" t="str">
            <v>Brûlage à feu ouvert</v>
          </cell>
          <cell r="C266" t="str">
            <v>Open burning</v>
          </cell>
        </row>
        <row r="267">
          <cell r="B267" t="str">
            <v>Tous types d'incinération</v>
          </cell>
          <cell r="C267" t="str">
            <v>All types of incineration</v>
          </cell>
        </row>
        <row r="268">
          <cell r="B268" t="str">
            <v>Incinération</v>
          </cell>
          <cell r="C268" t="str">
            <v>Incineration</v>
          </cell>
        </row>
        <row r="269">
          <cell r="B269" t="str">
            <v>Facteur d'émissions
 (g N2O / t déchets)</v>
          </cell>
          <cell r="C269" t="str">
            <v>Emission factor (g N2O / t waste)</v>
          </cell>
        </row>
        <row r="270">
          <cell r="B270" t="str">
            <v>Base de poids</v>
          </cell>
          <cell r="C270" t="str">
            <v>weight basis</v>
          </cell>
        </row>
        <row r="271">
          <cell r="B271" t="str">
            <v>Poids humide</v>
          </cell>
          <cell r="C271" t="str">
            <v>wet weight</v>
          </cell>
        </row>
        <row r="272">
          <cell r="B272" t="str">
            <v>Poids sec</v>
          </cell>
          <cell r="C272" t="str">
            <v>dry weight</v>
          </cell>
        </row>
        <row r="273">
          <cell r="B273" t="str">
            <v>2 - Calcul des émissions de CO2 des déchets à partir des mesures de fumées</v>
          </cell>
          <cell r="C273" t="str">
            <v>2 - Calculation of waste CO2 emissions from flue gas monitorings</v>
          </cell>
        </row>
        <row r="274">
          <cell r="B274" t="str">
            <v>Débit de fumées</v>
          </cell>
          <cell r="C274" t="str">
            <v>Flue gas flow</v>
          </cell>
        </row>
        <row r="275">
          <cell r="B275" t="str">
            <v>Teneur en CO2</v>
          </cell>
          <cell r="C275" t="str">
            <v>CO2 content</v>
          </cell>
        </row>
        <row r="276">
          <cell r="B276" t="str">
            <v>Teneur en carbone biogénique</v>
          </cell>
          <cell r="C276" t="str">
            <v>Biogenic carbon content</v>
          </cell>
        </row>
        <row r="277">
          <cell r="B277" t="str">
            <v>Déchets d'activité de soin</v>
          </cell>
          <cell r="C277" t="str">
            <v>Hospital waste</v>
          </cell>
        </row>
        <row r="278">
          <cell r="B278" t="str">
            <v>Emissions prises en compte</v>
          </cell>
          <cell r="C278" t="str">
            <v>Emissions that are accounted for</v>
          </cell>
        </row>
        <row r="279">
          <cell r="B279" t="str">
            <v>Emissions totales de CO2 et N2O liées à l'incinération des déchets</v>
          </cell>
          <cell r="C279" t="str">
            <v>Total CO2 and N2O emissions associated with waste incineration</v>
          </cell>
        </row>
        <row r="280">
          <cell r="B280" t="str">
            <v>Emissions directes liées aux incinérateurs - N2O</v>
          </cell>
          <cell r="C280" t="str">
            <v>N2O gross direct emissions</v>
          </cell>
        </row>
        <row r="281">
          <cell r="B281" t="str">
            <v>3 - Calcul des émissions de N2O des déchets à partir des tonnages de déchets incinérés</v>
          </cell>
          <cell r="C281" t="str">
            <v>3 - Calculation of waste N2O emissions from incinerated waste tonnages</v>
          </cell>
        </row>
        <row r="283">
          <cell r="C283">
            <v>282</v>
          </cell>
        </row>
        <row r="284">
          <cell r="B284" t="str">
            <v>tCO2/tdéchets</v>
          </cell>
          <cell r="C284" t="str">
            <v>tC2O / t waste</v>
          </cell>
        </row>
        <row r="285">
          <cell r="B285" t="str">
            <v>Quantité totale (OM + DIB)</v>
          </cell>
          <cell r="C285" t="str">
            <v>Total quantity (Household waste + non-dangerous industrial waste)</v>
          </cell>
        </row>
        <row r="286">
          <cell r="B286" t="str">
            <v>Emissions brutes directes de N20</v>
          </cell>
          <cell r="C286" t="str">
            <v>N2O gross direct emissions</v>
          </cell>
        </row>
        <row r="287">
          <cell r="B287" t="str">
            <v>Prise en compte</v>
          </cell>
          <cell r="C287" t="str">
            <v>Accounting</v>
          </cell>
        </row>
        <row r="288">
          <cell r="B288" t="str">
            <v>Emissions de NO2 prises en compte</v>
          </cell>
          <cell r="C288" t="str">
            <v>N2O emissions that are accounted for</v>
          </cell>
        </row>
        <row r="289">
          <cell r="B289" t="str">
            <v>Emissions de GES prises en compte</v>
          </cell>
          <cell r="C289" t="str">
            <v>GHG emissions that are accounted for</v>
          </cell>
        </row>
        <row r="290">
          <cell r="C290">
            <v>289</v>
          </cell>
        </row>
        <row r="291">
          <cell r="C291">
            <v>290</v>
          </cell>
        </row>
        <row r="292">
          <cell r="B292" t="str">
            <v>tonnes</v>
          </cell>
          <cell r="C292" t="str">
            <v>Tonnes</v>
          </cell>
        </row>
        <row r="293">
          <cell r="B293" t="str">
            <v>kgN2O / t déchet</v>
          </cell>
          <cell r="C293" t="str">
            <v>kgN20 / t waste</v>
          </cell>
        </row>
        <row r="294">
          <cell r="B294" t="str">
            <v>t CO2</v>
          </cell>
          <cell r="C294" t="str">
            <v>t CO2</v>
          </cell>
        </row>
        <row r="295">
          <cell r="B295" t="str">
            <v>t CO2 / t</v>
          </cell>
          <cell r="C295" t="str">
            <v>t CO2 / t</v>
          </cell>
        </row>
        <row r="296">
          <cell r="B296" t="str">
            <v>m3</v>
          </cell>
          <cell r="C296" t="str">
            <v>m3</v>
          </cell>
        </row>
        <row r="297">
          <cell r="B297" t="str">
            <v>t CO2 / m3</v>
          </cell>
          <cell r="C297" t="str">
            <v>t CO2 / m3</v>
          </cell>
        </row>
        <row r="298">
          <cell r="B298" t="str">
            <v>t CO2 éq.</v>
          </cell>
          <cell r="C298" t="str">
            <v>t CO2 eq.</v>
          </cell>
        </row>
        <row r="299">
          <cell r="B299" t="str">
            <v>Volume annuel de fumées</v>
          </cell>
          <cell r="C299" t="str">
            <v>Annual flue gas volume</v>
          </cell>
        </row>
        <row r="300">
          <cell r="B300" t="str">
            <v>Teneur en CO2</v>
          </cell>
          <cell r="C300" t="str">
            <v>CO2 content</v>
          </cell>
        </row>
        <row r="302">
          <cell r="B302" t="str">
            <v>Le GIEC donne des valeurs par défaut pour les facteurs d'émission de N2O de l’incinération (2006 IPCC Guidelines for National Greenhouse Gas Inventories - Volume 5 Waste).</v>
          </cell>
          <cell r="C302" t="str">
            <v xml:space="preserve">The IPCC gives default values for N2O emission factors from incineration (2006 IPCC Guidelines for National Greenhouse Gas Inventories - Volume 5 Waste). </v>
          </cell>
        </row>
        <row r="303">
          <cell r="B303" t="str">
            <v>4 - Calcul des émissions de CO2 liées aux combustibles utilisés</v>
          </cell>
          <cell r="C303" t="str">
            <v>4 - Calculation of CO2 emissions due the type of fuels used</v>
          </cell>
        </row>
        <row r="304">
          <cell r="B304" t="str">
            <v>Si vous utilisez des combustibles fossiles ou de l'électricité pour alimenter ponctuellement l'incinérateur (maintien en température, traitement des fumées), vous devez calculer les émissions correspondantes au moyen de l'onglet 'Comb &amp; Indirectes'.</v>
          </cell>
          <cell r="C304" t="str">
            <v>If you use fossil fuels or electricity to feed the incinerator from time to time (temperature preservation, flue gas treatment), you should calculate the corresponding emissions using the 'Comb &amp; Indirect' sheet</v>
          </cell>
        </row>
        <row r="305">
          <cell r="B305" t="str">
            <v>Teneur C biogénique / C total (t CO2/tC) dans le déchet en sortie du MBT</v>
          </cell>
          <cell r="C305" t="str">
            <v>Fraction of biogenic C / total C (t CO2/tC) in waste coming out from MBT</v>
          </cell>
        </row>
        <row r="306">
          <cell r="B306" t="str">
            <v>Quantité incinérée qui suit un pré-traitement mécano-biologique (MBT)</v>
          </cell>
          <cell r="C306" t="str">
            <v>Incinerated waste after an MBT pre-treatment</v>
          </cell>
        </row>
        <row r="307">
          <cell r="B307" t="str">
            <v>Quantité incinérée (tonnes)</v>
          </cell>
          <cell r="C307" t="str">
            <v>Incinerated tonnage (tonnes)</v>
          </cell>
        </row>
        <row r="308">
          <cell r="B308" t="str">
            <v>Contenu carbone total (%)</v>
          </cell>
          <cell r="C308" t="str">
            <v>Total carbon content (%)</v>
          </cell>
        </row>
        <row r="309">
          <cell r="B309" t="str">
            <v>Fraction de carbone biogénique dans le carbone total (%)</v>
          </cell>
          <cell r="C309" t="str">
            <v>Biogenic carbon as fraction of total carbon (%)</v>
          </cell>
        </row>
        <row r="310">
          <cell r="B310" t="str">
            <v>Efficacité de la combustion (%)</v>
          </cell>
          <cell r="C310" t="str">
            <v>Combustion efficiency (%)</v>
          </cell>
        </row>
        <row r="311">
          <cell r="B311" t="str">
            <v>Calcul du facteur d'émission au cas par cas</v>
          </cell>
          <cell r="C311" t="str">
            <v>Case by case calculation of the emission factor</v>
          </cell>
        </row>
        <row r="312">
          <cell r="C312">
            <v>311</v>
          </cell>
        </row>
        <row r="313">
          <cell r="C313">
            <v>312</v>
          </cell>
        </row>
        <row r="314">
          <cell r="C314">
            <v>313</v>
          </cell>
        </row>
        <row r="315">
          <cell r="C315">
            <v>314</v>
          </cell>
        </row>
        <row r="316">
          <cell r="C316">
            <v>315</v>
          </cell>
        </row>
        <row r="317">
          <cell r="C317">
            <v>316</v>
          </cell>
        </row>
        <row r="318">
          <cell r="C318">
            <v>317</v>
          </cell>
        </row>
        <row r="319">
          <cell r="C319">
            <v>318</v>
          </cell>
        </row>
        <row r="320">
          <cell r="C320">
            <v>319</v>
          </cell>
        </row>
        <row r="321">
          <cell r="C321">
            <v>320</v>
          </cell>
        </row>
        <row r="322">
          <cell r="C322">
            <v>321</v>
          </cell>
        </row>
        <row r="323">
          <cell r="C323">
            <v>322</v>
          </cell>
        </row>
        <row r="324">
          <cell r="C324">
            <v>323</v>
          </cell>
        </row>
        <row r="325">
          <cell r="C325">
            <v>324</v>
          </cell>
        </row>
        <row r="326">
          <cell r="C326">
            <v>325</v>
          </cell>
        </row>
        <row r="327">
          <cell r="C327">
            <v>326</v>
          </cell>
        </row>
        <row r="328">
          <cell r="C328">
            <v>327</v>
          </cell>
        </row>
        <row r="329">
          <cell r="C329">
            <v>328</v>
          </cell>
        </row>
        <row r="330">
          <cell r="B330" t="str">
            <v>EMISSIONS DE GAZ A EFFET DE SERRE LIEES AU TRAITEMENT DES EAUX USEES</v>
          </cell>
          <cell r="C330" t="str">
            <v>GREENHOUSE GAS EMISSIONS FROM WASTEWATER TREATMENT</v>
          </cell>
        </row>
        <row r="331">
          <cell r="B331" t="str">
            <v>Emissions directes liées au traitement des eaux usées</v>
          </cell>
          <cell r="C331" t="str">
            <v>Direct emissions from wastewater treatment</v>
          </cell>
        </row>
        <row r="332">
          <cell r="B332" t="str">
            <v>1 - Méthane émis par la filière épuration</v>
          </cell>
          <cell r="C332" t="str">
            <v>1 - Methane emitted from water treatment</v>
          </cell>
        </row>
        <row r="333">
          <cell r="B333" t="str">
            <v xml:space="preserve">Il n'existe pas à l'heure actuelle de méthode fiable pourla quantification des émissions de CH4 provenant du traitement des eaux usées. </v>
          </cell>
          <cell r="C333" t="str">
            <v>Currently, there are no available  methods to accurately quantify CH4 emissions from wastewater treatment.</v>
          </cell>
        </row>
        <row r="334">
          <cell r="B334" t="str">
            <v>2 - N2O émis par la filière épuration</v>
          </cell>
          <cell r="C334" t="str">
            <v>2 - N2O emitted from waste water treatment</v>
          </cell>
        </row>
        <row r="335">
          <cell r="B335" t="str">
            <v>A l'heure actuelle, il n'existe pas une connaissance suffisante permettant de mesurer et comptabiliser ces émissions. Des programmes de recherche sont en cours et le module de calcul sera adapté lorsque des données seront disponibles.</v>
          </cell>
          <cell r="C335" t="str">
            <v>There is not enough knowledge today to monitor and quantify these emissions. Research programs are underway and the calculation tool will be updated as soon as data are available.</v>
          </cell>
        </row>
        <row r="336">
          <cell r="B336" t="str">
            <v>3 - Calcul des émissions de CO2 liées aux combustibles utilisés</v>
          </cell>
          <cell r="C336" t="str">
            <v>3 - Calculation of CO2 emissions from used fuels</v>
          </cell>
        </row>
        <row r="337">
          <cell r="B337" t="str">
            <v>Si vous utilisez des combustibles fossiles ou de l'électricité pour alimenter des installations thermiques (moteur, compresseur, chaudières...). vous devez calculer les émissions correspondantes au moyen de l'onglet 'Comb &amp; Indirectes'.</v>
          </cell>
          <cell r="C337" t="str">
            <v>If you use fossil fuels or electricity to feed thermal facilities (engines, compressors, boilers...) you must calculate the corresponding emissions using the 'Comb &amp; Indirect' sheet.</v>
          </cell>
        </row>
        <row r="338">
          <cell r="C338">
            <v>337</v>
          </cell>
        </row>
        <row r="339">
          <cell r="C339">
            <v>338</v>
          </cell>
        </row>
        <row r="340">
          <cell r="C340">
            <v>339</v>
          </cell>
        </row>
        <row r="341">
          <cell r="C341">
            <v>340</v>
          </cell>
        </row>
        <row r="342">
          <cell r="C342">
            <v>341</v>
          </cell>
        </row>
        <row r="343">
          <cell r="C343">
            <v>342</v>
          </cell>
        </row>
        <row r="344">
          <cell r="C344">
            <v>343</v>
          </cell>
        </row>
        <row r="345">
          <cell r="C345">
            <v>344</v>
          </cell>
        </row>
        <row r="346">
          <cell r="C346">
            <v>345</v>
          </cell>
        </row>
        <row r="347">
          <cell r="C347">
            <v>346</v>
          </cell>
        </row>
        <row r="348">
          <cell r="C348">
            <v>347</v>
          </cell>
        </row>
        <row r="349">
          <cell r="C349">
            <v>348</v>
          </cell>
        </row>
        <row r="350">
          <cell r="C350">
            <v>349</v>
          </cell>
        </row>
        <row r="351">
          <cell r="B351" t="str">
            <v>EMISSIONS DE GAZ A EFFET DE SERRE EVITEES</v>
          </cell>
          <cell r="C351" t="str">
            <v>AVOIDED GREENHOUSE GAS EMISSIONS</v>
          </cell>
        </row>
        <row r="352">
          <cell r="B352" t="str">
            <v>Emissions évitées</v>
          </cell>
          <cell r="C352" t="str">
            <v>Avoided emissions</v>
          </cell>
        </row>
        <row r="353">
          <cell r="B353" t="str">
            <v>CSD</v>
          </cell>
          <cell r="C353" t="str">
            <v>Landfill</v>
          </cell>
        </row>
        <row r="354">
          <cell r="B354" t="str">
            <v>1 - Emissions de CO2 évitées par la valorisation énergétique du biogaz produit</v>
          </cell>
          <cell r="C354" t="str">
            <v>1 - Avoided CO2 emissions through energetic recovering of the produced biogas</v>
          </cell>
        </row>
        <row r="355">
          <cell r="B355" t="str">
            <v>Zone de production de l'énergie revendue (électricité / chaleur)</v>
          </cell>
          <cell r="C355" t="str">
            <v>Sold energy production area (electricity/heat)</v>
          </cell>
        </row>
        <row r="356">
          <cell r="B356" t="str">
            <v>Quantité produite et vendue</v>
          </cell>
          <cell r="C356" t="str">
            <v>Produced and sold quantity</v>
          </cell>
        </row>
        <row r="357">
          <cell r="B357" t="str">
            <v>kgCO2 / MWh</v>
          </cell>
          <cell r="C357" t="str">
            <v>kgCO2 / MWh</v>
          </cell>
        </row>
        <row r="358">
          <cell r="B358" t="str">
            <v>Emissions évitées de CO2</v>
          </cell>
          <cell r="C358" t="str">
            <v>CO2 avoided emissions</v>
          </cell>
        </row>
        <row r="359">
          <cell r="B359" t="str">
            <v>* voir les facteurs proposés à l'onglet 'Facteurs'</v>
          </cell>
          <cell r="C359" t="str">
            <v>* see factors proposed in the 'Factors' sheet</v>
          </cell>
        </row>
        <row r="360">
          <cell r="B360" t="str">
            <v>Incinérateurs</v>
          </cell>
          <cell r="C360" t="str">
            <v>Incineration</v>
          </cell>
        </row>
        <row r="361">
          <cell r="B361" t="str">
            <v>2.1 - Calcul des émissions évitées à partir de la quantité d'électricité produite</v>
          </cell>
          <cell r="C361" t="str">
            <v>2.1 - Calculation of the avoided emissions from the quantity of produced electricity</v>
          </cell>
        </row>
        <row r="362">
          <cell r="B362" t="str">
            <v>Zone de production de l'électricité revendue</v>
          </cell>
          <cell r="C362" t="str">
            <v xml:space="preserve">Sold electricity production area </v>
          </cell>
        </row>
        <row r="363">
          <cell r="B363" t="str">
            <v>2.2 - Calcul des émissions évitées à partir de la quantité de chaleur produite</v>
          </cell>
          <cell r="C363" t="str">
            <v>2.2 - Calculation of the avoided emissions from the quantity of produced heat</v>
          </cell>
        </row>
        <row r="364">
          <cell r="B364" t="str">
            <v>Zone de production de la chaleur revendue</v>
          </cell>
          <cell r="C364" t="str">
            <v xml:space="preserve">Sold heat productrion area </v>
          </cell>
        </row>
        <row r="365">
          <cell r="B365" t="str">
            <v>3- Calcul des émissions évitées à partir des quantités de déchets valorisés</v>
          </cell>
          <cell r="C365" t="str">
            <v>3- Calculation of avoided emissions from the quantity of recovered waste</v>
          </cell>
        </row>
        <row r="366">
          <cell r="B366" t="str">
            <v>Déchets valorisés</v>
          </cell>
          <cell r="C366" t="str">
            <v>Recovered waste</v>
          </cell>
        </row>
        <row r="367">
          <cell r="B367" t="str">
            <v>Mâchefers</v>
          </cell>
          <cell r="C367" t="str">
            <v>Bottom ash</v>
          </cell>
        </row>
        <row r="368">
          <cell r="B368" t="str">
            <v>Ferrailles</v>
          </cell>
          <cell r="C368" t="str">
            <v>Slag</v>
          </cell>
        </row>
        <row r="369">
          <cell r="B369" t="str">
            <v>Autres</v>
          </cell>
          <cell r="C369" t="str">
            <v>Others</v>
          </cell>
        </row>
        <row r="370">
          <cell r="B370" t="str">
            <v>Tonnes vendues</v>
          </cell>
          <cell r="C370" t="str">
            <v>Sold tonnages</v>
          </cell>
        </row>
        <row r="371">
          <cell r="B371" t="str">
            <v>t CO2 / t</v>
          </cell>
          <cell r="C371" t="str">
            <v>t CO2 / t</v>
          </cell>
        </row>
        <row r="372">
          <cell r="B372" t="str">
            <v>Traitements physico-chimiques</v>
          </cell>
          <cell r="C372" t="str">
            <v>Physico- chemical treatments</v>
          </cell>
        </row>
        <row r="373">
          <cell r="B373" t="str">
            <v>4 - Calcul des émissions évitées à partir des combustibles de substitution générés</v>
          </cell>
          <cell r="C373" t="str">
            <v>4 - Calculation of avoided emissions from the generation of alternative fuels</v>
          </cell>
        </row>
        <row r="374">
          <cell r="B374" t="str">
            <v>Combustible de substitution produit</v>
          </cell>
          <cell r="C374" t="str">
            <v>Alternative fuel produced</v>
          </cell>
        </row>
        <row r="375">
          <cell r="B375" t="str">
            <v>Quantité</v>
          </cell>
          <cell r="C375" t="str">
            <v>Quantity</v>
          </cell>
        </row>
        <row r="376">
          <cell r="B376" t="str">
            <v>Tri et recyclage</v>
          </cell>
          <cell r="C376" t="str">
            <v>Sorting and recycling</v>
          </cell>
        </row>
        <row r="377">
          <cell r="B377" t="str">
            <v>5- Calcul des émissions évitées à partir des quantités de déchets valorisés</v>
          </cell>
          <cell r="C377" t="str">
            <v>5- Calculation of avoided emissions from the quantity of recovered waste</v>
          </cell>
        </row>
        <row r="378">
          <cell r="B378" t="str">
            <v>Type de déchet</v>
          </cell>
          <cell r="C378" t="str">
            <v>Waste type</v>
          </cell>
        </row>
        <row r="379">
          <cell r="B379" t="str">
            <v>Papier / Carton</v>
          </cell>
          <cell r="C379" t="str">
            <v>Paper / Cardboard</v>
          </cell>
        </row>
        <row r="380">
          <cell r="B380" t="str">
            <v>Verre</v>
          </cell>
          <cell r="C380" t="str">
            <v>Glass</v>
          </cell>
        </row>
        <row r="381">
          <cell r="B381" t="str">
            <v>Acier</v>
          </cell>
          <cell r="C381" t="str">
            <v>Steel</v>
          </cell>
        </row>
        <row r="382">
          <cell r="B382" t="str">
            <v>Aluminium</v>
          </cell>
          <cell r="C382" t="str">
            <v>Aluminium</v>
          </cell>
        </row>
        <row r="383">
          <cell r="B383" t="str">
            <v>Plastiques (HDPE)</v>
          </cell>
          <cell r="C383" t="str">
            <v>Plastics (HDPE)</v>
          </cell>
        </row>
        <row r="384">
          <cell r="B384" t="str">
            <v>Plastiques (PET)</v>
          </cell>
          <cell r="C384" t="str">
            <v>Plastics (PET)</v>
          </cell>
        </row>
        <row r="385">
          <cell r="B385" t="str">
            <v>Autres (préciser)</v>
          </cell>
          <cell r="C385" t="str">
            <v>Others (to be specified)</v>
          </cell>
        </row>
        <row r="386">
          <cell r="B386" t="str">
            <v>Total des émissions évitées</v>
          </cell>
          <cell r="C386" t="str">
            <v>Total avoided emissions</v>
          </cell>
        </row>
        <row r="387">
          <cell r="C387">
            <v>386</v>
          </cell>
        </row>
        <row r="388">
          <cell r="C388">
            <v>387</v>
          </cell>
        </row>
        <row r="389">
          <cell r="C389">
            <v>388</v>
          </cell>
        </row>
        <row r="390">
          <cell r="C390">
            <v>389</v>
          </cell>
        </row>
        <row r="391">
          <cell r="C391">
            <v>390</v>
          </cell>
        </row>
        <row r="392">
          <cell r="C392">
            <v>391</v>
          </cell>
        </row>
        <row r="393">
          <cell r="C393">
            <v>392</v>
          </cell>
        </row>
        <row r="394">
          <cell r="C394">
            <v>393</v>
          </cell>
        </row>
        <row r="395">
          <cell r="C395">
            <v>394</v>
          </cell>
        </row>
        <row r="396">
          <cell r="C396">
            <v>395</v>
          </cell>
        </row>
        <row r="397">
          <cell r="C397">
            <v>396</v>
          </cell>
        </row>
        <row r="398">
          <cell r="C398">
            <v>397</v>
          </cell>
        </row>
        <row r="399">
          <cell r="C399">
            <v>398</v>
          </cell>
        </row>
        <row r="400">
          <cell r="C400">
            <v>399</v>
          </cell>
        </row>
        <row r="401">
          <cell r="B401" t="str">
            <v>FACTEURS D'EMISSIONS</v>
          </cell>
          <cell r="C401" t="str">
            <v>EMISSION FACTORS</v>
          </cell>
        </row>
        <row r="402">
          <cell r="B402" t="str">
            <v>Type de facteur</v>
          </cell>
          <cell r="C402" t="str">
            <v>Type of factor</v>
          </cell>
        </row>
        <row r="403">
          <cell r="B403" t="str">
            <v>1 - Facteurs d'émissions par type de combustible utilisé</v>
          </cell>
          <cell r="C403" t="str">
            <v>1 - Emission factors by fuel type</v>
          </cell>
        </row>
        <row r="404">
          <cell r="B404" t="str">
            <v>2 - Facteurs d'émissions par MWh (distinction en fonction du pays producteur)</v>
          </cell>
          <cell r="C404" t="str">
            <v>2 - Emission factors per MWh (distinction depending on the producing country)</v>
          </cell>
        </row>
        <row r="405">
          <cell r="B405" t="str">
            <v>3 - Teneur moyenne en carbone organique des ordures ménagères (pays européens)</v>
          </cell>
          <cell r="C405" t="str">
            <v>3 - Organic carbon average rate in household waste (European countries)</v>
          </cell>
        </row>
        <row r="406">
          <cell r="B406" t="str">
            <v>4 - Facteurs pour le traitement des eaux usées</v>
          </cell>
          <cell r="C406" t="str">
            <v>4 - Factors for wastewater treatment</v>
          </cell>
        </row>
        <row r="407">
          <cell r="B407" t="str">
            <v>5 - Facteurs pour la valorisation des ferrailles et mâchefers de l'incinération</v>
          </cell>
          <cell r="C407" t="str">
            <v>5 - Factors for the recovery of slag and bottom ash from incineration</v>
          </cell>
        </row>
        <row r="408">
          <cell r="B408" t="str">
            <v>Onglets d'utilisation</v>
          </cell>
          <cell r="C408" t="str">
            <v>Used in sheets</v>
          </cell>
        </row>
        <row r="409">
          <cell r="B409" t="str">
            <v>Comb &amp; Indirectes</v>
          </cell>
          <cell r="C409" t="str">
            <v>Comb &amp; Indirect</v>
          </cell>
        </row>
        <row r="410">
          <cell r="B410" t="str">
            <v>Evitées</v>
          </cell>
          <cell r="C410" t="str">
            <v>Avoided</v>
          </cell>
        </row>
        <row r="411">
          <cell r="B411" t="str">
            <v>Incinération</v>
          </cell>
          <cell r="C411" t="str">
            <v>Incineration</v>
          </cell>
        </row>
        <row r="412">
          <cell r="B412" t="str">
            <v>Eaux usées</v>
          </cell>
          <cell r="C412" t="str">
            <v>Wastewater</v>
          </cell>
        </row>
        <row r="414">
          <cell r="B414" t="str">
            <v>Facteurs d'émission de CO2 d'installations de combustion en fonction du type de combustible utilisé</v>
          </cell>
          <cell r="C414" t="str">
            <v>CO2 emission factors from combustion facilities per type of used fuels</v>
          </cell>
        </row>
        <row r="415">
          <cell r="B415" t="str">
            <v>GIEC : Revised IPCC guidelines for national greenhouse gas inventories :
reference manual http://www.ipcc-nggip.iges.or.jp/public/gl/invs1.htm</v>
          </cell>
          <cell r="C415" t="str">
            <v>IPCC : Revised IPCC guidelines for national greenhouse gas inventories : reference manual http://www.ipcc-nggip.iges.or.jp/public/gl/invs1.htm</v>
          </cell>
        </row>
        <row r="417">
          <cell r="B417" t="str">
            <v>GhG Protocol : http://www.ghgprotocol.org/templates/GHG5/layout.asp?MenuID=849</v>
          </cell>
          <cell r="C417" t="str">
            <v>GhG Protocol : http://www.ghgprotocol.org/templates/GHG5/layout.asp?MenuID=849</v>
          </cell>
        </row>
        <row r="418">
          <cell r="B418" t="str">
            <v>CITEPA : http://www.citepa.org/publications/Inventaires.htm</v>
          </cell>
          <cell r="C418" t="str">
            <v>CITEPA : http://www.citepa.org/publications/Inventaires.htm</v>
          </cell>
        </row>
        <row r="419">
          <cell r="B419" t="str">
            <v>Type de combustible</v>
          </cell>
          <cell r="C419" t="str">
            <v>Fuel type</v>
          </cell>
        </row>
        <row r="420">
          <cell r="B420" t="str">
            <v>Unité</v>
          </cell>
          <cell r="C420" t="str">
            <v>Unit</v>
          </cell>
        </row>
        <row r="421">
          <cell r="B421" t="str">
            <v>Facteur d'émission</v>
          </cell>
          <cell r="C421" t="str">
            <v>Emission Factors</v>
          </cell>
        </row>
        <row r="422">
          <cell r="B422" t="str">
            <v>GIEC, 1996</v>
          </cell>
          <cell r="C422" t="str">
            <v>GIEC, 1996</v>
          </cell>
        </row>
        <row r="423">
          <cell r="B423" t="str">
            <v>CITEPA, 2005</v>
          </cell>
          <cell r="C423" t="str">
            <v>CITEPA, 2005</v>
          </cell>
        </row>
        <row r="424">
          <cell r="B424" t="str">
            <v>ADEME 2005</v>
          </cell>
          <cell r="C424" t="str">
            <v>ADEME 2005</v>
          </cell>
        </row>
        <row r="425">
          <cell r="B425" t="str">
            <v>Fioul lourd</v>
          </cell>
          <cell r="C425" t="str">
            <v>Fuel oil</v>
          </cell>
        </row>
        <row r="426">
          <cell r="B426" t="str">
            <v>Fioul domestique / Gazoil</v>
          </cell>
          <cell r="C426" t="str">
            <v>Gasoil</v>
          </cell>
        </row>
        <row r="427">
          <cell r="B427" t="str">
            <v>Gaz naturel</v>
          </cell>
          <cell r="C427" t="str">
            <v>Natural Gas</v>
          </cell>
        </row>
        <row r="428">
          <cell r="B428" t="str">
            <v>t CO2/t</v>
          </cell>
          <cell r="C428" t="str">
            <v>t CO2/t</v>
          </cell>
        </row>
        <row r="429">
          <cell r="B429" t="str">
            <v>t CO2/GJ</v>
          </cell>
          <cell r="C429" t="str">
            <v>t CO2/GJ</v>
          </cell>
        </row>
        <row r="430">
          <cell r="B430" t="str">
            <v>GhG protocol (IEA)</v>
          </cell>
          <cell r="C430" t="str">
            <v>GhG protocol (IEA)</v>
          </cell>
        </row>
        <row r="431">
          <cell r="B431" t="str">
            <v>Emissions de CO2 par kWh pour les procédés de production d'électricité et/ou de chaleur</v>
          </cell>
          <cell r="C431" t="str">
            <v>CO2 emissions per MWh for electricity and/or heat production processes</v>
          </cell>
        </row>
        <row r="432">
          <cell r="B432" t="str">
            <v>Facteurs d'émissions en grammes CO2 / kWh liés à la consommation de combustibles utilisés par les usines de production d'électricité et de chaleur : fuel, gaz, charbon, nucléaire, hydro, géothermie, solaire, biomasse.</v>
          </cell>
          <cell r="C432" t="str">
            <v xml:space="preserve">Emission factors (in grams CO2 / kWh) linked to fuel consumption by electricity and heat production plants : oil, gas, coal, nuclear, hydro, geothermal, solar and biomass. </v>
          </cell>
        </row>
        <row r="433">
          <cell r="B433" t="str">
            <v>Données International Energy Agency "CO2 Emissions from Fuel Combustion (2007 Edition)", disponibles sur le site du GHG Protocol (http://www.ghgprotocol.org), Rubrique "Corporate Standard" - "Calculation tools".</v>
          </cell>
          <cell r="C433" t="str">
            <v>Source :International Energy Agency 'CO2 Emissions from Fuel Combustion (2007 Edition)', available on the GHG Protocol website (http://www.ghgprotocol.org), Section 'Corporate Standard' - 'Calculation tools'.</v>
          </cell>
        </row>
        <row r="434">
          <cell r="B434" t="str">
            <v>Les facteurs moyennés sur des zones géographiques sont indiqué en rouge</v>
          </cell>
          <cell r="C434" t="str">
            <v>Average factors on a geographic area are presented in red.</v>
          </cell>
        </row>
        <row r="435">
          <cell r="B435" t="str">
            <v>Pays</v>
          </cell>
          <cell r="C435" t="str">
            <v>Country</v>
          </cell>
        </row>
        <row r="436">
          <cell r="B436" t="str">
            <v>Les données des pays non-Annexe 1 sont moins fiables que celles pour les pays de l'Annexe 1. Ces facteurs d'émission doivent être utilisés avec précaution.</v>
          </cell>
          <cell r="C436" t="str">
            <v>Data for non-Annex 1 countries are less accurate that the ones for Annex 1 countries. These emissions factors should be used carefully.</v>
          </cell>
        </row>
        <row r="437">
          <cell r="B437" t="str">
            <v>Teneur moyenne des ordures ménagères (OM) en carbone biogénique</v>
          </cell>
          <cell r="C437" t="str">
            <v>Average content of biogenic carbon in Household Waste (HW)</v>
          </cell>
        </row>
        <row r="438">
          <cell r="B438" t="str">
            <v xml:space="preserve">Source (hors France): Agence Européenne pour l'Environnement, 2005 </v>
          </cell>
          <cell r="C438" t="str">
            <v xml:space="preserve">Source (except France): European Environment Agency, 2005 </v>
          </cell>
        </row>
        <row r="439">
          <cell r="B439" t="str">
            <v>Pour la France : source ADEME 2004</v>
          </cell>
          <cell r="C439" t="str">
            <v>For France: source ADEME 2004</v>
          </cell>
        </row>
        <row r="440">
          <cell r="B440" t="str">
            <v>Teneur en carbone biogénique dans les OM</v>
          </cell>
          <cell r="C440" t="str">
            <v>Biogenic carbon content in MSW</v>
          </cell>
        </row>
        <row r="441">
          <cell r="B441" t="str">
            <v>tC/tOM</v>
          </cell>
          <cell r="C441" t="str">
            <v>tC/tMSW</v>
          </cell>
        </row>
        <row r="442">
          <cell r="B442" t="str">
            <v>Emissions liées au traitement des eaux usées</v>
          </cell>
          <cell r="C442" t="str">
            <v>Emissions from wastewater treatment</v>
          </cell>
        </row>
        <row r="443">
          <cell r="B443" t="str">
            <v>Source :  GIEC (1996)</v>
          </cell>
          <cell r="C443" t="str">
            <v>Source: IPCC (1996)</v>
          </cell>
        </row>
        <row r="444">
          <cell r="B444" t="str">
            <v>Emissions de CH4 converties en tonnes CO2eq</v>
          </cell>
          <cell r="C444" t="str">
            <v>CH4 emissions converted in tCO2 equivalent</v>
          </cell>
        </row>
        <row r="445">
          <cell r="B445" t="str">
            <v>Emissions évitées liées à la valorisation des ferrailles et mâchefers</v>
          </cell>
          <cell r="C445" t="str">
            <v>Avoided emissions related to the recovery of slag and bottom ash</v>
          </cell>
        </row>
        <row r="446">
          <cell r="B446" t="str">
            <v>Source : ADEME 2007</v>
          </cell>
          <cell r="C446" t="str">
            <v>Source: ADEME 2007</v>
          </cell>
        </row>
        <row r="447">
          <cell r="B447" t="str">
            <v>Matière</v>
          </cell>
          <cell r="C447" t="str">
            <v>Material</v>
          </cell>
        </row>
        <row r="448">
          <cell r="B448" t="str">
            <v>Mâchefers</v>
          </cell>
          <cell r="C448" t="str">
            <v>Bottom ash</v>
          </cell>
        </row>
        <row r="449">
          <cell r="B449" t="str">
            <v>Ferrailles</v>
          </cell>
          <cell r="C449" t="str">
            <v>Slag</v>
          </cell>
        </row>
        <row r="450">
          <cell r="B450" t="str">
            <v>Remarque : Les mâchefers issus de l'incinération des déchets peuvent être utilisés en technique routière en substitution aux graviers. Le calcul des émissions évitées liées à la valorisation des mâchefers dépend du contexte local : quantité de fuel et d'é</v>
          </cell>
          <cell r="C450" t="str">
            <v>Remark : Bottom ash from waste incineration can be used instated of gravel. The calculation of the avoided emissions related to bottom ash recovery depend on the local context : quantity of fuel and electricity used for the fabrication of one tonne of gra</v>
          </cell>
        </row>
        <row r="451">
          <cell r="B451" t="str">
            <v>Afrique</v>
          </cell>
          <cell r="C451" t="str">
            <v>Africa</v>
          </cell>
        </row>
        <row r="452">
          <cell r="B452" t="str">
            <v>Asie &amp; Amérique latine</v>
          </cell>
          <cell r="C452" t="str">
            <v>Asia &amp; Latin America</v>
          </cell>
        </row>
        <row r="453">
          <cell r="B453" t="str">
            <v>Pays de l'OCDE</v>
          </cell>
          <cell r="C453" t="str">
            <v>OECD Countries</v>
          </cell>
        </row>
        <row r="454">
          <cell r="B454" t="str">
            <v>Teneur en Carbone biogénique par rapport au carbone total (t Cbio/tC)</v>
          </cell>
          <cell r="C454" t="str">
            <v>Fraction of biogenic carbon in total carbon (t Cbio/tC)</v>
          </cell>
        </row>
        <row r="455">
          <cell r="B455" t="str">
            <v>Emissions de CO2 par kWh pour les procédés de production d'électricité</v>
          </cell>
          <cell r="C455" t="str">
            <v>CO2 emissions per kWh for electricity production processes</v>
          </cell>
        </row>
        <row r="456">
          <cell r="B456" t="str">
            <v>Emissions de CO2 par kWh pour les procédés de production de chaleur</v>
          </cell>
          <cell r="C456" t="str">
            <v>CO2 emissions per kWh for heat production processes</v>
          </cell>
        </row>
        <row r="457">
          <cell r="B457" t="str">
            <v>Source d’énergie thermique replacée</v>
          </cell>
          <cell r="C457" t="str">
            <v xml:space="preserve">Thermal energy source replaced </v>
          </cell>
        </row>
        <row r="458">
          <cell r="B458" t="str">
            <v>Facteur d'émission g CO2eq / kWh</v>
          </cell>
          <cell r="C458" t="str">
            <v>Emission Factor (gCO2eq / kWh)</v>
          </cell>
        </row>
        <row r="459">
          <cell r="B459" t="str">
            <v>Chaudière au fuel</v>
          </cell>
          <cell r="C459" t="str">
            <v>Oil boiler</v>
          </cell>
        </row>
        <row r="460">
          <cell r="B460" t="str">
            <v>Chaudière au gaz naturel</v>
          </cell>
          <cell r="C460" t="str">
            <v>Natural gas boiler</v>
          </cell>
        </row>
        <row r="461">
          <cell r="B461" t="str">
            <v>Chauffage collectif au fuel</v>
          </cell>
          <cell r="C461" t="str">
            <v>Collective oil heating</v>
          </cell>
        </row>
        <row r="462">
          <cell r="B462" t="str">
            <v>Chauffage collectif au gaz naturel</v>
          </cell>
          <cell r="C462" t="str">
            <v>Collective natural gas heating</v>
          </cell>
        </row>
        <row r="463">
          <cell r="B463" t="str">
            <v>Chauffage industriel au fuel</v>
          </cell>
          <cell r="C463" t="str">
            <v>Industrial oil heating</v>
          </cell>
        </row>
        <row r="464">
          <cell r="B464" t="str">
            <v>Chauffage industriel au gaz naturel</v>
          </cell>
          <cell r="C464" t="str">
            <v>Industrial natural gas heating</v>
          </cell>
        </row>
        <row r="465">
          <cell r="B465" t="str">
            <v>Chaleur, moyenne européenne</v>
          </cell>
          <cell r="C465" t="str">
            <v>Heat, european average</v>
          </cell>
        </row>
        <row r="466">
          <cell r="B466" t="str">
            <v>ADEME et Gaz de France, Rapport d'ACV des modes de valorisation énergétique du biogaz, 2007</v>
          </cell>
          <cell r="C466" t="str">
            <v>ADEME and Gaz de France, LCA report on the different types of biogas recovery, 2007</v>
          </cell>
        </row>
        <row r="467">
          <cell r="B467" t="str">
            <v>ADEME et BIO Intelligence Service, Rapport d'ACV du chauffage collectif et industriel au bois, 2005</v>
          </cell>
          <cell r="C467" t="str">
            <v>ADEME and BIO Intelligence Service, LCA report on Collective and Industrial wood heating, 2005</v>
          </cell>
        </row>
        <row r="468">
          <cell r="B468" t="str">
            <v>AEA Technology, Waste management options and climate change, 2001</v>
          </cell>
          <cell r="C468" t="str">
            <v>AEA Technology, Waste management options and climate change, 2001</v>
          </cell>
        </row>
        <row r="469">
          <cell r="C469">
            <v>468</v>
          </cell>
        </row>
        <row r="470">
          <cell r="C470">
            <v>469</v>
          </cell>
        </row>
        <row r="471">
          <cell r="C471">
            <v>470</v>
          </cell>
        </row>
        <row r="472">
          <cell r="B472" t="str">
            <v>FACTEURS POUR LES EMISSIONS EVITEES PAR L'INTERMEDIAIRE DU RECYCLAGE</v>
          </cell>
          <cell r="C472" t="str">
            <v>FACTORS FOR AVOIDED EMISSIONS FROM RECYCLING</v>
          </cell>
        </row>
        <row r="473">
          <cell r="B473" t="str">
            <v>Les valeurs indiquées ci-dessous proviennent de trois publications : une étude européenne d'AEA Technology pour la DG Environnement, une publication de l'US EPA et une étude française ADEME/Ecobilan.</v>
          </cell>
          <cell r="C473" t="str">
            <v>The values below originate from three publications : a European study by AEA Technology for the Environment DG, a publication from US EPA and a French study ADEME/Ecobilan.</v>
          </cell>
        </row>
        <row r="474">
          <cell r="B474" t="str">
            <v>L'utilisateur choisira les valeurs les plus adaptées à la localisation géographique des sites concernés.</v>
          </cell>
          <cell r="C474" t="str">
            <v>The user will choose the most appropriate values according to the geographical location of the considered sites.</v>
          </cell>
        </row>
        <row r="475">
          <cell r="B475" t="str">
            <v>Toutes les valeurs sont données en tonnes métriques de CO2 / tonne métrique de matériaux. 
En ce qui concerne les données américaines, les facteurs ont été convertis en tonnes métriques de CO2e par tonne métrique de matériaux à partir des données original</v>
          </cell>
          <cell r="C475" t="str">
            <v>All these values are given in metric tonnes of CO2 / metric tonne of material. 
As far as the American values are concerned, factors have been converted into metric tonnes of CO2 / metric tonne of material taking as a starting point the original values gi</v>
          </cell>
        </row>
        <row r="476">
          <cell r="B476" t="str">
            <v>Titre du document</v>
          </cell>
          <cell r="C476" t="str">
            <v>Title of the document</v>
          </cell>
        </row>
        <row r="477">
          <cell r="B477" t="str">
            <v>Waste management options and climate change, AEA Technology pour la DG Environnement</v>
          </cell>
          <cell r="C477" t="str">
            <v>Waste management options and climate change, AEA Technology pour la DG Environnement</v>
          </cell>
        </row>
        <row r="478">
          <cell r="B478" t="str">
            <v>Solid Waste Management and Greenhouse Gases: A Life-Cycle Assessment of Emissions and Sinks, 3rd edition, US EPA</v>
          </cell>
          <cell r="C478" t="str">
            <v>Solid Waste Management and Greenhouse Gases: A Life-Cycle Assessment of Emissions and Sinks, 3rd edition, US EPA</v>
          </cell>
        </row>
        <row r="479">
          <cell r="B479" t="str">
            <v>Etude technico-économique sur le bilan des filières de recyclage, ADEME/Ecobilan</v>
          </cell>
          <cell r="C479" t="str">
            <v>Etude technico-économique sur le bilan des filières de recyclage, ADEME/Ecobilan</v>
          </cell>
        </row>
        <row r="480">
          <cell r="B480" t="str">
            <v>Périmètre</v>
          </cell>
          <cell r="C480" t="str">
            <v>Perimeter</v>
          </cell>
        </row>
        <row r="481">
          <cell r="B481" t="str">
            <v>Intègre le transport et les émissions des sites de tri</v>
          </cell>
          <cell r="C481" t="str">
            <v>Includes transport and emissions from sorting facilities</v>
          </cell>
        </row>
        <row r="482">
          <cell r="B482" t="str">
            <v>Intègre le transport, les émissions des sites de tri, et le carbone séquestré (séquestration du carbone par les arbres qui auraient été coupés en l’absence de recyclage)</v>
          </cell>
          <cell r="C482" t="str">
            <v xml:space="preserve">Includes transport, emissions from sorting facilities and sequestered carbon (carbon sequestration in the trees that would have been cut in the absence of recycling). </v>
          </cell>
        </row>
        <row r="483">
          <cell r="B483" t="str">
            <v xml:space="preserve">Recyclage seul (impact du recyclage de 1 tonne de déchets en entrée du site de recyclage) </v>
          </cell>
          <cell r="C483" t="str">
            <v>Recycling only (impact of the recycling of 1 tonne of waste at the entrance of the recycling facility)</v>
          </cell>
        </row>
        <row r="484">
          <cell r="B484" t="str">
            <v>Année publication</v>
          </cell>
          <cell r="C484" t="str">
            <v>Publication year</v>
          </cell>
        </row>
        <row r="485">
          <cell r="B485" t="str">
            <v>Materiau</v>
          </cell>
          <cell r="C485" t="str">
            <v>Material</v>
          </cell>
        </row>
        <row r="486">
          <cell r="B486" t="str">
            <v>Unité</v>
          </cell>
          <cell r="C486" t="str">
            <v>Unit</v>
          </cell>
        </row>
        <row r="487">
          <cell r="B487" t="str">
            <v>Emissions évitées</v>
          </cell>
          <cell r="C487" t="str">
            <v>Avoided emissions</v>
          </cell>
        </row>
        <row r="488">
          <cell r="B488" t="str">
            <v>Papier</v>
          </cell>
          <cell r="C488" t="str">
            <v>Paper</v>
          </cell>
        </row>
        <row r="489">
          <cell r="B489" t="str">
            <v>HDPE</v>
          </cell>
          <cell r="C489" t="str">
            <v>HDPE</v>
          </cell>
        </row>
        <row r="490">
          <cell r="B490" t="str">
            <v>PET</v>
          </cell>
          <cell r="C490" t="str">
            <v>PET</v>
          </cell>
        </row>
        <row r="491">
          <cell r="B491" t="str">
            <v>Verre</v>
          </cell>
          <cell r="C491" t="str">
            <v>Glass</v>
          </cell>
        </row>
        <row r="492">
          <cell r="B492" t="str">
            <v>Métaux ferreux</v>
          </cell>
          <cell r="C492" t="str">
            <v>Ferrous metal</v>
          </cell>
        </row>
        <row r="493">
          <cell r="B493" t="str">
            <v>Aluminium</v>
          </cell>
          <cell r="C493" t="str">
            <v>Aluminium</v>
          </cell>
        </row>
        <row r="494">
          <cell r="B494" t="str">
            <v>Textiles</v>
          </cell>
          <cell r="C494" t="str">
            <v>Textiles</v>
          </cell>
        </row>
        <row r="495">
          <cell r="B495" t="str">
            <v>Canettes en aluminium</v>
          </cell>
          <cell r="C495" t="str">
            <v>Aluminum Cans</v>
          </cell>
        </row>
        <row r="496">
          <cell r="B496" t="str">
            <v>Canettes en acier</v>
          </cell>
          <cell r="C496" t="str">
            <v>Steel Cans</v>
          </cell>
        </row>
        <row r="497">
          <cell r="B497" t="str">
            <v>Fil de cuivre</v>
          </cell>
          <cell r="C497" t="str">
            <v>Copper Wire</v>
          </cell>
        </row>
        <row r="498">
          <cell r="B498" t="str">
            <v>Verre</v>
          </cell>
          <cell r="C498" t="str">
            <v>Glass</v>
          </cell>
        </row>
        <row r="499">
          <cell r="B499" t="str">
            <v>HDPE</v>
          </cell>
          <cell r="C499" t="str">
            <v>HDPE</v>
          </cell>
        </row>
        <row r="500">
          <cell r="B500" t="str">
            <v>LDPE</v>
          </cell>
          <cell r="C500" t="str">
            <v>LDPE</v>
          </cell>
        </row>
        <row r="501">
          <cell r="B501" t="str">
            <v>PET</v>
          </cell>
          <cell r="C501" t="str">
            <v>PET</v>
          </cell>
        </row>
        <row r="502">
          <cell r="B502" t="str">
            <v>Carton ondulé</v>
          </cell>
          <cell r="C502" t="str">
            <v>Corrugated Box</v>
          </cell>
        </row>
        <row r="503">
          <cell r="B503" t="str">
            <v>Magazines</v>
          </cell>
          <cell r="C503" t="str">
            <v>Magazines</v>
          </cell>
        </row>
        <row r="504">
          <cell r="B504" t="str">
            <v>Journaux</v>
          </cell>
          <cell r="C504" t="str">
            <v>Newspaper</v>
          </cell>
        </row>
        <row r="505">
          <cell r="B505" t="str">
            <v>Papier de bureau</v>
          </cell>
          <cell r="C505" t="str">
            <v>Office Paper</v>
          </cell>
        </row>
        <row r="506">
          <cell r="B506" t="str">
            <v>Annuaires</v>
          </cell>
          <cell r="C506" t="str">
            <v>Phonebook</v>
          </cell>
        </row>
        <row r="507">
          <cell r="B507" t="str">
            <v xml:space="preserve">Cahiers </v>
          </cell>
          <cell r="C507" t="str">
            <v>Textbook</v>
          </cell>
        </row>
        <row r="508">
          <cell r="B508" t="str">
            <v>Planches de bois</v>
          </cell>
          <cell r="C508" t="str">
            <v>Dimensional Lumber</v>
          </cell>
        </row>
        <row r="509">
          <cell r="B509" t="str">
            <v>Panneaux de fibres</v>
          </cell>
          <cell r="C509" t="str">
            <v>Fiberboard</v>
          </cell>
        </row>
        <row r="510">
          <cell r="B510" t="str">
            <v>Panneaux en papiers mélangés</v>
          </cell>
          <cell r="C510" t="str">
            <v>Mixed Paper Board</v>
          </cell>
        </row>
        <row r="511">
          <cell r="B511" t="str">
            <v>Papiers mélangés - résidentiel</v>
          </cell>
          <cell r="C511" t="str">
            <v>Mixed Paper - Residential</v>
          </cell>
        </row>
        <row r="512">
          <cell r="B512" t="str">
            <v>Plastiques mélangés</v>
          </cell>
          <cell r="C512" t="str">
            <v>Mixed Plastics</v>
          </cell>
        </row>
        <row r="513">
          <cell r="B513" t="str">
            <v>Matériaux reyclables mélangés</v>
          </cell>
          <cell r="C513" t="str">
            <v>Mixed Recyclables</v>
          </cell>
        </row>
        <row r="514">
          <cell r="B514" t="str">
            <v>Tapis</v>
          </cell>
          <cell r="C514" t="str">
            <v>Carpets</v>
          </cell>
        </row>
        <row r="515">
          <cell r="B515" t="str">
            <v>Ordinateurs</v>
          </cell>
          <cell r="C515" t="str">
            <v>PCs</v>
          </cell>
        </row>
        <row r="516">
          <cell r="B516" t="str">
            <v>Aggrégat</v>
          </cell>
          <cell r="C516" t="str">
            <v>Aggregate</v>
          </cell>
        </row>
        <row r="517">
          <cell r="B517" t="str">
            <v>Cendres</v>
          </cell>
          <cell r="C517" t="str">
            <v>FlyAsh</v>
          </cell>
        </row>
        <row r="518">
          <cell r="B518" t="str">
            <v>Pneus</v>
          </cell>
          <cell r="C518" t="str">
            <v>Tires</v>
          </cell>
        </row>
        <row r="519">
          <cell r="B519" t="str">
            <v>Acier</v>
          </cell>
          <cell r="C519" t="str">
            <v>Steel</v>
          </cell>
        </row>
        <row r="520">
          <cell r="B520" t="str">
            <v>Aluminium</v>
          </cell>
          <cell r="C520" t="str">
            <v>Aluminium</v>
          </cell>
        </row>
        <row r="521">
          <cell r="B521" t="str">
            <v>Plomb</v>
          </cell>
          <cell r="C521" t="str">
            <v>Lead</v>
          </cell>
        </row>
        <row r="522">
          <cell r="B522" t="str">
            <v>Cuivre</v>
          </cell>
          <cell r="C522" t="str">
            <v>Copper Wire</v>
          </cell>
        </row>
        <row r="523">
          <cell r="B523" t="str">
            <v>Cartons d'emballage</v>
          </cell>
          <cell r="C523" t="str">
            <v>Cardboard packing</v>
          </cell>
        </row>
        <row r="524">
          <cell r="B524" t="str">
            <v>Papiers à usage graphique</v>
          </cell>
          <cell r="C524" t="str">
            <v>Graphic papers</v>
          </cell>
        </row>
        <row r="525">
          <cell r="B525" t="str">
            <v>Papiers spéciaux et d'hygiène</v>
          </cell>
          <cell r="C525" t="str">
            <v>Special and hygiene papers</v>
          </cell>
        </row>
        <row r="526">
          <cell r="B526" t="str">
            <v>Verre</v>
          </cell>
          <cell r="C526" t="str">
            <v>Glass</v>
          </cell>
        </row>
        <row r="527">
          <cell r="B527" t="str">
            <v>PE</v>
          </cell>
          <cell r="C527" t="str">
            <v>PE</v>
          </cell>
        </row>
        <row r="528">
          <cell r="B528" t="str">
            <v>PET</v>
          </cell>
          <cell r="C528" t="str">
            <v>PET</v>
          </cell>
        </row>
        <row r="529">
          <cell r="B529" t="str">
            <v>Remarque : Si l'utilisateur souhaite utiliser des facteurs d'émissions autres que ceux fournis ci-dessous, il doit les documenter et donner les références de l'étude ACV (Analyse de Cycle de Vie) à l'origine de ses valeurs.</v>
          </cell>
          <cell r="C529" t="str">
            <v>Remark : If the user wants to use values other than those cited below, he should document them and give the references of the LCA study at the origin of his figures.</v>
          </cell>
        </row>
        <row r="532">
          <cell r="B532" t="str">
            <v>SYNTHESE DES EMISSIONS</v>
          </cell>
          <cell r="C532" t="str">
            <v>EMISSIONS SYNTHESIS</v>
          </cell>
        </row>
        <row r="533">
          <cell r="B533" t="str">
            <v>Emissions directes</v>
          </cell>
          <cell r="C533" t="str">
            <v>Direct emissions</v>
          </cell>
        </row>
        <row r="534">
          <cell r="B534" t="str">
            <v>Emissions indirectes</v>
          </cell>
          <cell r="C534" t="str">
            <v>Indirect emissions</v>
          </cell>
        </row>
        <row r="535">
          <cell r="B535" t="str">
            <v>Emissions évitées</v>
          </cell>
          <cell r="C535" t="str">
            <v>Avoided emissions</v>
          </cell>
        </row>
        <row r="536">
          <cell r="B536" t="str">
            <v>Installations de combustion fixes</v>
          </cell>
          <cell r="C536" t="str">
            <v>Permanent combustion facility</v>
          </cell>
        </row>
        <row r="537">
          <cell r="B537" t="str">
            <v xml:space="preserve">Transport en propre </v>
          </cell>
          <cell r="C537" t="str">
            <v>Operated transport</v>
          </cell>
        </row>
        <row r="538">
          <cell r="B538" t="str">
            <v>CSD</v>
          </cell>
          <cell r="C538" t="str">
            <v>Landfill</v>
          </cell>
        </row>
        <row r="539">
          <cell r="B539" t="str">
            <v>Incinération</v>
          </cell>
          <cell r="C539" t="str">
            <v>Incineration</v>
          </cell>
        </row>
        <row r="540">
          <cell r="B540" t="str">
            <v>Traitement des eaux usées</v>
          </cell>
          <cell r="C540" t="str">
            <v>Wastewater treatment</v>
          </cell>
        </row>
        <row r="541">
          <cell r="B541" t="str">
            <v>Total émissions directes</v>
          </cell>
          <cell r="C541" t="str">
            <v xml:space="preserve">Total direct emissions </v>
          </cell>
        </row>
        <row r="542">
          <cell r="B542" t="str">
            <v>Emissions liées à l'utilisation d'électricité et d'énergie thermique</v>
          </cell>
          <cell r="C542" t="str">
            <v>Emissions related to the use of electricity or thermal energy</v>
          </cell>
        </row>
        <row r="543">
          <cell r="B543" t="str">
            <v>Emissions indirectes liées aux transports</v>
          </cell>
          <cell r="C543" t="str">
            <v>Indirect emissions related to transport</v>
          </cell>
        </row>
        <row r="544">
          <cell r="B544" t="str">
            <v>Total émissions indirectes</v>
          </cell>
          <cell r="C544" t="str">
            <v>Total indirect emissions</v>
          </cell>
        </row>
        <row r="545">
          <cell r="B545" t="str">
            <v>Attention : dans le cas de l'incinération, le calcul a pu être effectué sans calculer les émissions brutes au préalable, selon les données disponibles. Par conséquent, toute exploitation ou comparaison des émissions brutes et nettes doit être effectuée av</v>
          </cell>
          <cell r="C545" t="str">
            <v>Beware: for incineration, the calculation could have been made without a prior calculation of the gross emissions before, according to available data. As a consequence, every analysis or comparison of gross and net emissions should be done carefully.</v>
          </cell>
        </row>
        <row r="546">
          <cell r="B546" t="str">
            <v>Les émissions évitées ne doivent pas être déduites du total des émissions directes et/ou indirectes calculées ci-dessus</v>
          </cell>
          <cell r="C546" t="str">
            <v>Avoided emissions shouldn't be deduced from the total of direct/indirect emissions calculated above.</v>
          </cell>
        </row>
        <row r="547">
          <cell r="B547" t="str">
            <v>Emissions totales évitées</v>
          </cell>
          <cell r="C547" t="str">
            <v>Total avoided emissions</v>
          </cell>
        </row>
        <row r="548">
          <cell r="B548" t="str">
            <v>Valorisation énergétique du biogaz produit</v>
          </cell>
          <cell r="C548" t="str">
            <v>Energy recovery from the produced biogas</v>
          </cell>
        </row>
        <row r="549">
          <cell r="B549" t="str">
            <v>Production d'énergie de l'incinération</v>
          </cell>
          <cell r="C549" t="str">
            <v>Energy production from incineration</v>
          </cell>
        </row>
        <row r="550">
          <cell r="B550" t="str">
            <v>Valorisation de sous produits d'incinération</v>
          </cell>
          <cell r="C550" t="str">
            <v>Recovery of incineration by-products</v>
          </cell>
        </row>
        <row r="551">
          <cell r="B551" t="str">
            <v>Combustibles de substitution</v>
          </cell>
          <cell r="C551" t="str">
            <v>Alternative fuels</v>
          </cell>
        </row>
        <row r="552">
          <cell r="B552" t="str">
            <v>Tri et recyclage</v>
          </cell>
          <cell r="C552" t="str">
            <v>Sorting and recycling</v>
          </cell>
        </row>
        <row r="553">
          <cell r="B553" t="str">
            <v>Total émissions évitées</v>
          </cell>
          <cell r="C553" t="str">
            <v>Total avoided emissions</v>
          </cell>
        </row>
        <row r="554">
          <cell r="B554" t="str">
            <v>Source</v>
          </cell>
          <cell r="C554" t="str">
            <v>Source</v>
          </cell>
        </row>
        <row r="555">
          <cell r="B555" t="str">
            <v xml:space="preserve">Emissions directes nettes </v>
          </cell>
          <cell r="C555" t="str">
            <v xml:space="preserve">Net direct emissions </v>
          </cell>
        </row>
        <row r="556">
          <cell r="C556">
            <v>517</v>
          </cell>
        </row>
        <row r="557">
          <cell r="C557">
            <v>518</v>
          </cell>
        </row>
        <row r="558">
          <cell r="C558">
            <v>519</v>
          </cell>
        </row>
        <row r="559">
          <cell r="C559">
            <v>520</v>
          </cell>
        </row>
        <row r="560">
          <cell r="C560">
            <v>521</v>
          </cell>
        </row>
        <row r="561">
          <cell r="C561">
            <v>522</v>
          </cell>
        </row>
        <row r="562">
          <cell r="C562">
            <v>523</v>
          </cell>
        </row>
        <row r="563">
          <cell r="C563">
            <v>524</v>
          </cell>
        </row>
        <row r="564">
          <cell r="C564">
            <v>525</v>
          </cell>
        </row>
        <row r="565">
          <cell r="C565">
            <v>526</v>
          </cell>
        </row>
        <row r="566">
          <cell r="C566">
            <v>527</v>
          </cell>
        </row>
        <row r="567">
          <cell r="C567">
            <v>528</v>
          </cell>
        </row>
        <row r="568">
          <cell r="C568">
            <v>529</v>
          </cell>
        </row>
        <row r="569">
          <cell r="C569">
            <v>530</v>
          </cell>
        </row>
        <row r="570">
          <cell r="C570">
            <v>531</v>
          </cell>
        </row>
        <row r="571">
          <cell r="C571">
            <v>532</v>
          </cell>
        </row>
        <row r="572">
          <cell r="C572">
            <v>533</v>
          </cell>
        </row>
        <row r="573">
          <cell r="C573">
            <v>534</v>
          </cell>
        </row>
        <row r="574">
          <cell r="C574">
            <v>535</v>
          </cell>
        </row>
        <row r="575">
          <cell r="C575">
            <v>536</v>
          </cell>
        </row>
        <row r="576">
          <cell r="C576">
            <v>537</v>
          </cell>
        </row>
        <row r="577">
          <cell r="C577">
            <v>538</v>
          </cell>
        </row>
        <row r="578">
          <cell r="C578">
            <v>539</v>
          </cell>
        </row>
        <row r="579">
          <cell r="C579">
            <v>540</v>
          </cell>
        </row>
        <row r="580">
          <cell r="C580">
            <v>541</v>
          </cell>
        </row>
        <row r="581">
          <cell r="C581">
            <v>542</v>
          </cell>
        </row>
        <row r="582">
          <cell r="C582">
            <v>543</v>
          </cell>
        </row>
        <row r="583">
          <cell r="C583">
            <v>544</v>
          </cell>
        </row>
        <row r="584">
          <cell r="C584">
            <v>545</v>
          </cell>
        </row>
        <row r="585">
          <cell r="C585">
            <v>546</v>
          </cell>
        </row>
        <row r="586">
          <cell r="C586">
            <v>547</v>
          </cell>
        </row>
        <row r="587">
          <cell r="C587">
            <v>548</v>
          </cell>
        </row>
        <row r="588">
          <cell r="C588">
            <v>549</v>
          </cell>
        </row>
        <row r="589">
          <cell r="C589">
            <v>550</v>
          </cell>
        </row>
        <row r="590">
          <cell r="C590">
            <v>551</v>
          </cell>
        </row>
        <row r="591">
          <cell r="C591">
            <v>552</v>
          </cell>
        </row>
        <row r="592">
          <cell r="C592">
            <v>553</v>
          </cell>
        </row>
        <row r="593">
          <cell r="C593">
            <v>554</v>
          </cell>
        </row>
        <row r="594">
          <cell r="C594">
            <v>555</v>
          </cell>
        </row>
        <row r="595">
          <cell r="C595">
            <v>556</v>
          </cell>
        </row>
        <row r="596">
          <cell r="C596">
            <v>557</v>
          </cell>
        </row>
        <row r="597">
          <cell r="C597">
            <v>558</v>
          </cell>
        </row>
        <row r="598">
          <cell r="C598">
            <v>559</v>
          </cell>
        </row>
        <row r="599">
          <cell r="C599">
            <v>560</v>
          </cell>
        </row>
        <row r="600">
          <cell r="C600">
            <v>561</v>
          </cell>
        </row>
        <row r="601">
          <cell r="C601">
            <v>562</v>
          </cell>
        </row>
        <row r="602">
          <cell r="C602">
            <v>563</v>
          </cell>
        </row>
        <row r="603">
          <cell r="C603">
            <v>564</v>
          </cell>
        </row>
        <row r="604">
          <cell r="C604">
            <v>565</v>
          </cell>
        </row>
        <row r="605">
          <cell r="C605">
            <v>566</v>
          </cell>
        </row>
        <row r="606">
          <cell r="C606">
            <v>567</v>
          </cell>
        </row>
        <row r="607">
          <cell r="C607">
            <v>568</v>
          </cell>
        </row>
        <row r="608">
          <cell r="C608">
            <v>569</v>
          </cell>
        </row>
        <row r="609">
          <cell r="C609">
            <v>570</v>
          </cell>
        </row>
        <row r="610">
          <cell r="C610">
            <v>571</v>
          </cell>
        </row>
        <row r="611">
          <cell r="C611">
            <v>572</v>
          </cell>
        </row>
        <row r="612">
          <cell r="C612">
            <v>573</v>
          </cell>
        </row>
        <row r="613">
          <cell r="C613">
            <v>574</v>
          </cell>
        </row>
        <row r="614">
          <cell r="C614">
            <v>575</v>
          </cell>
        </row>
        <row r="615">
          <cell r="C615">
            <v>576</v>
          </cell>
        </row>
        <row r="616">
          <cell r="C616">
            <v>577</v>
          </cell>
        </row>
        <row r="617">
          <cell r="C617">
            <v>578</v>
          </cell>
        </row>
        <row r="618">
          <cell r="C618">
            <v>579</v>
          </cell>
        </row>
        <row r="619">
          <cell r="C619">
            <v>580</v>
          </cell>
        </row>
        <row r="620">
          <cell r="C620">
            <v>581</v>
          </cell>
        </row>
        <row r="621">
          <cell r="C621">
            <v>582</v>
          </cell>
        </row>
        <row r="622">
          <cell r="C622">
            <v>583</v>
          </cell>
        </row>
        <row r="623">
          <cell r="C623">
            <v>584</v>
          </cell>
        </row>
        <row r="624">
          <cell r="C624">
            <v>585</v>
          </cell>
        </row>
        <row r="625">
          <cell r="C625">
            <v>586</v>
          </cell>
        </row>
        <row r="626">
          <cell r="C626">
            <v>587</v>
          </cell>
        </row>
        <row r="627">
          <cell r="C627">
            <v>588</v>
          </cell>
        </row>
        <row r="628">
          <cell r="C628">
            <v>589</v>
          </cell>
        </row>
        <row r="629">
          <cell r="C629">
            <v>590</v>
          </cell>
        </row>
        <row r="630">
          <cell r="C630">
            <v>591</v>
          </cell>
        </row>
        <row r="631">
          <cell r="C631">
            <v>592</v>
          </cell>
        </row>
        <row r="632">
          <cell r="C632">
            <v>593</v>
          </cell>
        </row>
        <row r="633">
          <cell r="C633">
            <v>594</v>
          </cell>
        </row>
        <row r="634">
          <cell r="C634">
            <v>595</v>
          </cell>
        </row>
        <row r="635">
          <cell r="C635">
            <v>596</v>
          </cell>
        </row>
        <row r="636">
          <cell r="C636">
            <v>597</v>
          </cell>
        </row>
        <row r="637">
          <cell r="C637">
            <v>598</v>
          </cell>
        </row>
        <row r="638">
          <cell r="C638">
            <v>599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MCF"/>
      <sheetName val="Activity"/>
      <sheetName val="Amnt_Deposited"/>
      <sheetName val="Recovery_OX"/>
      <sheetName val="Results"/>
      <sheetName val="HWP"/>
      <sheetName val="Stored_C"/>
      <sheetName val="Theory"/>
      <sheetName val="Defaults"/>
      <sheetName val="Food"/>
      <sheetName val="Garden"/>
      <sheetName val="Paper"/>
      <sheetName val="Wood"/>
      <sheetName val="Textiles"/>
      <sheetName val="Nappies"/>
      <sheetName val="Sludge"/>
      <sheetName val="MSW"/>
      <sheetName val="Industry"/>
    </sheetNames>
    <sheetDataSet>
      <sheetData sheetId="0"/>
      <sheetData sheetId="1">
        <row r="9">
          <cell r="E9">
            <v>1950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pcc.ch/report/ar6/wg1/downloads/report/IPCC_AR6_WGI_Chapter_07.pdf" TargetMode="External"/><Relationship Id="rId1" Type="http://schemas.openxmlformats.org/officeDocument/2006/relationships/hyperlink" Target="https://www.ipcc.ch/report/ar6/wg1/downloads/report/IPCC_AR6_WGI_Chapter_07_Supplementary_Materi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eur01.safelinks.protection.outlook.com/?url=https%3A%2F%2Fwww.unep.org%2Fresources%2Freport%2Fglobal-waste-management-outlook&amp;data=05%7C01%7Cchristoph.engelhardt%40giz.de%7C5423556d9c29450176f008dabd4364b8%7C5bbab28cdef3460488225e707da8dba8%7C0%7C0%7C638030394435531131%7CUnknown%7CTWFpbGZsb3d8eyJWIjoiMC4wLjAwMDAiLCJQIjoiV2luMzIiLCJBTiI6Ik1haWwiLCJXVCI6Mn0%3D%7C3000%7C%7C%7C&amp;sdata=zNSK8kXhL9aRQvCTecg73zERxjhfRIdCXAWIkmYhZ%2Fs%3D&amp;reserved=0" TargetMode="External"/><Relationship Id="rId2" Type="http://schemas.openxmlformats.org/officeDocument/2006/relationships/hyperlink" Target="https://eur01.safelinks.protection.outlook.com/?url=https%3A%2F%2Frosdok.uni-rostock.de%2Ffile%2Frosdok_derivate_0000005003%2FDissertation_Pfaff-Simoneit_2013.pdf&amp;data=05%7C01%7Cchristoph.engelhardt%40giz.de%7C5423556d9c29450176f008dabd4364b8%7C5bbab28cdef3460488225e707da8dba8%7C0%7C0%7C638030394435531131%7CUnknown%7CTWFpbGZsb3d8eyJWIjoiMC4wLjAwMDAiLCJQIjoiV2luMzIiLCJBTiI6Ik1haWwiLCJXVCI6Mn0%3D%7C3000%7C%7C%7C&amp;sdata=lZHHz4D%2Bwq8nCyPRJsFHxAcvHCl2MMXxiBnegFhCLfs%3D&amp;reserved=0" TargetMode="External"/><Relationship Id="rId1" Type="http://schemas.openxmlformats.org/officeDocument/2006/relationships/hyperlink" Target="https://eur01.safelinks.protection.outlook.com/?url=https%3A%2F%2Fopenknowledge.worldbank.org%2Fhandle%2F10986%2F30317&amp;data=05%7C01%7Cchristoph.engelhardt%40giz.de%7C5423556d9c29450176f008dabd4364b8%7C5bbab28cdef3460488225e707da8dba8%7C0%7C0%7C638030394435531131%7CUnknown%7CTWFpbGZsb3d8eyJWIjoiMC4wLjAwMDAiLCJQIjoiV2luMzIiLCJBTiI6Ik1haWwiLCJXVCI6Mn0%3D%7C3000%7C%7C%7C&amp;sdata=9Kixf3I9HVB3f3E06t%2F%2FNgWVZ0SJmb8oMgmc%2BdqA0nA%3D&amp;reserved=0"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dsw.org/wp-content/uploads/2021/10/DSW-Datenreport_2021_web.pdf" TargetMode="External"/><Relationship Id="rId2" Type="http://schemas.openxmlformats.org/officeDocument/2006/relationships/hyperlink" Target="https://unfccc.int/climate-action/sectoral-engagement/ifis-harmonization-of-standards-for-ghg-accounting/ifi-twg-list-of-methodologies" TargetMode="External"/><Relationship Id="rId1" Type="http://schemas.openxmlformats.org/officeDocument/2006/relationships/hyperlink" Target="https://www.ipcc-nggip.iges.or.jp/public/2006gl/pdf/2_Volume2/V2_2_Ch2_Stationary_Combustion.pdf"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3"/>
  <dimension ref="B3:O34"/>
  <sheetViews>
    <sheetView tabSelected="1" zoomScaleNormal="100" workbookViewId="0"/>
  </sheetViews>
  <sheetFormatPr baseColWidth="10" defaultColWidth="11.5703125" defaultRowHeight="12.75"/>
  <cols>
    <col min="1" max="1" width="5.85546875" style="5" customWidth="1"/>
    <col min="2" max="16384" width="11.5703125" style="5"/>
  </cols>
  <sheetData>
    <row r="3" spans="2:15" ht="37.5">
      <c r="B3" s="717" t="s">
        <v>1005</v>
      </c>
      <c r="C3" s="87"/>
      <c r="D3" s="87"/>
      <c r="E3" s="87"/>
      <c r="F3" s="87"/>
      <c r="G3" s="87"/>
      <c r="H3" s="87"/>
      <c r="I3" s="87"/>
      <c r="J3" s="87"/>
      <c r="K3" s="87"/>
      <c r="L3" s="87"/>
      <c r="M3" s="87"/>
      <c r="N3" s="87"/>
      <c r="O3" s="87"/>
    </row>
    <row r="4" spans="2:15">
      <c r="B4" s="83" t="s">
        <v>28</v>
      </c>
    </row>
    <row r="5" spans="2:15">
      <c r="B5" s="83"/>
    </row>
    <row r="6" spans="2:15">
      <c r="B6" s="84" t="s">
        <v>135</v>
      </c>
    </row>
    <row r="7" spans="2:15">
      <c r="B7" s="84" t="s">
        <v>136</v>
      </c>
    </row>
    <row r="9" spans="2:15">
      <c r="B9" s="83"/>
    </row>
    <row r="10" spans="2:15">
      <c r="B10" s="83"/>
    </row>
    <row r="11" spans="2:15">
      <c r="B11" s="83"/>
    </row>
    <row r="13" spans="2:15">
      <c r="B13" s="84"/>
    </row>
    <row r="14" spans="2:15">
      <c r="B14" s="84"/>
    </row>
    <row r="15" spans="2:15">
      <c r="B15" s="724" t="s">
        <v>1034</v>
      </c>
      <c r="E15" s="725" t="s">
        <v>1035</v>
      </c>
      <c r="H15" s="725" t="s">
        <v>1036</v>
      </c>
    </row>
    <row r="16" spans="2:15">
      <c r="B16" s="84"/>
    </row>
    <row r="17" spans="2:2" ht="23.25">
      <c r="B17" s="85" t="s">
        <v>142</v>
      </c>
    </row>
    <row r="18" spans="2:2" ht="12.75" customHeight="1">
      <c r="B18" s="85"/>
    </row>
    <row r="19" spans="2:2">
      <c r="B19" s="226"/>
    </row>
    <row r="20" spans="2:2">
      <c r="B20" s="226"/>
    </row>
    <row r="21" spans="2:2">
      <c r="B21" s="226"/>
    </row>
    <row r="22" spans="2:2">
      <c r="B22" s="226"/>
    </row>
    <row r="23" spans="2:2" ht="15.75">
      <c r="B23" s="225" t="s">
        <v>1001</v>
      </c>
    </row>
    <row r="24" spans="2:2">
      <c r="B24" s="226"/>
    </row>
    <row r="25" spans="2:2">
      <c r="B25" s="226"/>
    </row>
    <row r="26" spans="2:2">
      <c r="B26" s="226"/>
    </row>
    <row r="27" spans="2:2">
      <c r="B27" s="226"/>
    </row>
    <row r="28" spans="2:2" ht="15.75">
      <c r="B28" s="225" t="s">
        <v>138</v>
      </c>
    </row>
    <row r="34" spans="5:5">
      <c r="E34"/>
    </row>
  </sheetData>
  <sheetProtection password="AAA9" sheet="1" objects="1" scenarios="1"/>
  <phoneticPr fontId="5"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R108"/>
  <sheetViews>
    <sheetView zoomScaleNormal="100" workbookViewId="0"/>
  </sheetViews>
  <sheetFormatPr baseColWidth="10" defaultColWidth="11.5703125" defaultRowHeight="12.75"/>
  <cols>
    <col min="1" max="1" width="8.5703125" style="14" customWidth="1"/>
    <col min="2" max="2" width="37.28515625" style="14" customWidth="1"/>
    <col min="3" max="3" width="15.28515625" style="14" customWidth="1"/>
    <col min="4" max="4" width="15.7109375" style="14" bestFit="1" customWidth="1"/>
    <col min="5" max="5" width="13.28515625" style="14" customWidth="1"/>
    <col min="6" max="12" width="11.5703125" style="14"/>
    <col min="13" max="13" width="11" style="14" customWidth="1"/>
    <col min="14" max="14" width="11.85546875" style="14" customWidth="1"/>
    <col min="15" max="16384" width="11.5703125" style="14"/>
  </cols>
  <sheetData>
    <row r="1" spans="1:18" s="595" customFormat="1" ht="18">
      <c r="A1" s="40" t="s">
        <v>131</v>
      </c>
    </row>
    <row r="2" spans="1:18" ht="13.9" customHeight="1">
      <c r="A2" s="13"/>
    </row>
    <row r="3" spans="1:18">
      <c r="B3" s="631" t="s">
        <v>7</v>
      </c>
      <c r="C3" s="42">
        <f>+Calculation!$M$39</f>
        <v>0</v>
      </c>
      <c r="D3" s="596"/>
      <c r="E3" s="596"/>
    </row>
    <row r="4" spans="1:18" ht="13.5" thickBot="1">
      <c r="B4" s="632"/>
      <c r="C4" s="597"/>
      <c r="D4" s="598"/>
      <c r="E4" s="598"/>
    </row>
    <row r="5" spans="1:18">
      <c r="B5" s="631" t="s">
        <v>4</v>
      </c>
      <c r="C5" s="42">
        <f>+Calculation!$M$14</f>
        <v>0</v>
      </c>
      <c r="D5" s="596"/>
      <c r="E5" s="596"/>
      <c r="O5" s="784" t="s">
        <v>132</v>
      </c>
      <c r="P5" s="785"/>
    </row>
    <row r="6" spans="1:18" ht="13.5" thickBot="1">
      <c r="B6" s="632" t="s">
        <v>5</v>
      </c>
      <c r="C6" s="42"/>
      <c r="D6" s="596"/>
      <c r="E6" s="596"/>
      <c r="O6" s="786">
        <f>+C3</f>
        <v>0</v>
      </c>
      <c r="P6" s="787"/>
    </row>
    <row r="7" spans="1:18">
      <c r="B7" s="633" t="s">
        <v>90</v>
      </c>
      <c r="C7" s="42">
        <f>+Calculation!$M$7</f>
        <v>0</v>
      </c>
      <c r="D7" s="596"/>
      <c r="E7" s="596"/>
      <c r="M7" s="299"/>
    </row>
    <row r="8" spans="1:18" ht="13.5" thickBot="1">
      <c r="B8" s="633" t="s">
        <v>173</v>
      </c>
      <c r="C8" s="42">
        <f>+Calculation!$M$8</f>
        <v>0</v>
      </c>
      <c r="D8" s="596"/>
      <c r="E8" s="596"/>
    </row>
    <row r="9" spans="1:18" ht="13.5" thickBot="1">
      <c r="B9" s="633" t="s">
        <v>20</v>
      </c>
      <c r="C9" s="42">
        <f>+Calculation!$M$9</f>
        <v>0</v>
      </c>
      <c r="D9" s="596"/>
      <c r="E9" s="596"/>
      <c r="M9" s="38" t="s">
        <v>121</v>
      </c>
      <c r="N9" s="79">
        <f>+C5</f>
        <v>0</v>
      </c>
      <c r="O9" s="43" t="e">
        <f>+N9/O6</f>
        <v>#DIV/0!</v>
      </c>
      <c r="P9" s="44" t="e">
        <f>+Q9/O6</f>
        <v>#DIV/0!</v>
      </c>
      <c r="Q9" s="45">
        <f>+C15</f>
        <v>0</v>
      </c>
      <c r="R9" s="23" t="s">
        <v>122</v>
      </c>
    </row>
    <row r="10" spans="1:18">
      <c r="B10" s="633" t="s">
        <v>21</v>
      </c>
      <c r="C10" s="42">
        <f>+Calculation!$M$10</f>
        <v>0</v>
      </c>
      <c r="D10" s="596"/>
      <c r="E10" s="596"/>
      <c r="N10" s="62"/>
      <c r="Q10" s="62"/>
    </row>
    <row r="11" spans="1:18">
      <c r="B11" s="633" t="s">
        <v>22</v>
      </c>
      <c r="C11" s="42">
        <f>+Calculation!$M$11</f>
        <v>0</v>
      </c>
      <c r="D11" s="596"/>
      <c r="E11" s="596"/>
      <c r="M11" s="46" t="str">
        <f t="shared" ref="M11:N17" si="0">+B7</f>
        <v>Food waste</v>
      </c>
      <c r="N11" s="80">
        <f t="shared" si="0"/>
        <v>0</v>
      </c>
      <c r="O11" s="47" t="e">
        <f t="shared" ref="O11:O17" si="1">+N11/$N$9</f>
        <v>#DIV/0!</v>
      </c>
      <c r="P11" s="48" t="e">
        <f t="shared" ref="P11:P17" si="2">+Q11/$Q$9</f>
        <v>#DIV/0!</v>
      </c>
      <c r="Q11" s="49">
        <f t="shared" ref="Q11:Q17" si="3">+C17</f>
        <v>0</v>
      </c>
      <c r="R11" s="14" t="str">
        <f t="shared" ref="R11:R17" si="4">+B17</f>
        <v>Scattered</v>
      </c>
    </row>
    <row r="12" spans="1:18">
      <c r="B12" s="633" t="s">
        <v>143</v>
      </c>
      <c r="C12" s="42">
        <f>+Calculation!$M$12</f>
        <v>0</v>
      </c>
      <c r="D12" s="596"/>
      <c r="E12" s="596"/>
      <c r="M12" s="46" t="str">
        <f t="shared" si="0"/>
        <v>Garden &amp; park waste</v>
      </c>
      <c r="N12" s="80">
        <f t="shared" si="0"/>
        <v>0</v>
      </c>
      <c r="O12" s="47" t="e">
        <f t="shared" si="1"/>
        <v>#DIV/0!</v>
      </c>
      <c r="P12" s="48" t="e">
        <f t="shared" si="2"/>
        <v>#DIV/0!</v>
      </c>
      <c r="Q12" s="49">
        <f t="shared" si="3"/>
        <v>0</v>
      </c>
      <c r="R12" s="14" t="str">
        <f t="shared" si="4"/>
        <v>Burned-open</v>
      </c>
    </row>
    <row r="13" spans="1:18">
      <c r="B13" s="633" t="s">
        <v>94</v>
      </c>
      <c r="C13" s="42">
        <f>+Calculation!$M$13</f>
        <v>0</v>
      </c>
      <c r="D13" s="596"/>
      <c r="E13" s="596"/>
      <c r="M13" s="46" t="str">
        <f t="shared" si="0"/>
        <v>Paper, cardboard</v>
      </c>
      <c r="N13" s="80">
        <f t="shared" si="0"/>
        <v>0</v>
      </c>
      <c r="O13" s="47" t="e">
        <f t="shared" si="1"/>
        <v>#DIV/0!</v>
      </c>
      <c r="P13" s="48" t="e">
        <f t="shared" si="2"/>
        <v>#DIV/0!</v>
      </c>
      <c r="Q13" s="49">
        <f t="shared" si="3"/>
        <v>0</v>
      </c>
      <c r="R13" s="14" t="str">
        <f t="shared" si="4"/>
        <v>Wild dump</v>
      </c>
    </row>
    <row r="14" spans="1:18">
      <c r="B14" s="633"/>
      <c r="C14" s="42"/>
      <c r="D14" s="596"/>
      <c r="E14" s="596"/>
      <c r="M14" s="46" t="str">
        <f t="shared" si="0"/>
        <v>Plastics</v>
      </c>
      <c r="N14" s="80">
        <f t="shared" si="0"/>
        <v>0</v>
      </c>
      <c r="O14" s="47" t="e">
        <f t="shared" si="1"/>
        <v>#DIV/0!</v>
      </c>
      <c r="P14" s="48" t="e">
        <f t="shared" si="2"/>
        <v>#DIV/0!</v>
      </c>
      <c r="Q14" s="49">
        <f t="shared" si="3"/>
        <v>0</v>
      </c>
      <c r="R14" s="14" t="str">
        <f t="shared" si="4"/>
        <v>Controlled landfill</v>
      </c>
    </row>
    <row r="15" spans="1:18">
      <c r="B15" s="634" t="s">
        <v>6</v>
      </c>
      <c r="C15" s="42">
        <f>+Calculation!$M$38</f>
        <v>0</v>
      </c>
      <c r="D15" s="596"/>
      <c r="E15" s="596"/>
      <c r="M15" s="46" t="str">
        <f t="shared" si="0"/>
        <v>Glass</v>
      </c>
      <c r="N15" s="80">
        <f t="shared" si="0"/>
        <v>0</v>
      </c>
      <c r="O15" s="47" t="e">
        <f t="shared" si="1"/>
        <v>#DIV/0!</v>
      </c>
      <c r="P15" s="48" t="e">
        <f t="shared" si="2"/>
        <v>#DIV/0!</v>
      </c>
      <c r="Q15" s="49">
        <f t="shared" si="3"/>
        <v>0</v>
      </c>
      <c r="R15" s="14" t="str">
        <f t="shared" si="4"/>
        <v>Sanitary landfill</v>
      </c>
    </row>
    <row r="16" spans="1:18">
      <c r="B16" s="632" t="s">
        <v>5</v>
      </c>
      <c r="C16" s="42"/>
      <c r="D16" s="596"/>
      <c r="E16" s="596"/>
      <c r="M16" s="46" t="str">
        <f t="shared" si="0"/>
        <v>Ferrous metals</v>
      </c>
      <c r="N16" s="80">
        <f t="shared" si="0"/>
        <v>0</v>
      </c>
      <c r="O16" s="47" t="e">
        <f t="shared" si="1"/>
        <v>#DIV/0!</v>
      </c>
      <c r="P16" s="48" t="e">
        <f t="shared" si="2"/>
        <v>#DIV/0!</v>
      </c>
      <c r="Q16" s="49">
        <f t="shared" si="3"/>
        <v>0</v>
      </c>
      <c r="R16" s="14" t="str">
        <f t="shared" si="4"/>
        <v>BS/landfill</v>
      </c>
    </row>
    <row r="17" spans="1:18">
      <c r="B17" s="635" t="s">
        <v>174</v>
      </c>
      <c r="C17" s="42">
        <f>+Calculation!$M$28</f>
        <v>0</v>
      </c>
      <c r="D17" s="596"/>
      <c r="E17" s="596"/>
      <c r="M17" s="46" t="str">
        <f t="shared" si="0"/>
        <v>Aluminium</v>
      </c>
      <c r="N17" s="80">
        <f t="shared" si="0"/>
        <v>0</v>
      </c>
      <c r="O17" s="47" t="e">
        <f t="shared" si="1"/>
        <v>#DIV/0!</v>
      </c>
      <c r="P17" s="48" t="e">
        <f t="shared" si="2"/>
        <v>#DIV/0!</v>
      </c>
      <c r="Q17" s="49">
        <f t="shared" si="3"/>
        <v>0</v>
      </c>
      <c r="R17" s="14" t="str">
        <f t="shared" si="4"/>
        <v>MBTaerobic/treatm</v>
      </c>
    </row>
    <row r="18" spans="1:18">
      <c r="B18" s="635" t="s">
        <v>175</v>
      </c>
      <c r="C18" s="42">
        <f>+Calculation!$M$29</f>
        <v>0</v>
      </c>
      <c r="D18" s="596"/>
      <c r="E18" s="596"/>
      <c r="O18" s="599"/>
      <c r="P18" s="48" t="e">
        <f t="shared" ref="P18" si="5">+Q18/$Q$9</f>
        <v>#DIV/0!</v>
      </c>
      <c r="Q18" s="49">
        <f t="shared" ref="Q18" si="6">+C24</f>
        <v>0</v>
      </c>
      <c r="R18" s="14" t="str">
        <f t="shared" ref="R18" si="7">+B24</f>
        <v>MBTanaerobic/treatm</v>
      </c>
    </row>
    <row r="19" spans="1:18">
      <c r="B19" s="635" t="s">
        <v>170</v>
      </c>
      <c r="C19" s="42">
        <f>+Calculation!$M$30</f>
        <v>0</v>
      </c>
      <c r="D19" s="596"/>
      <c r="E19" s="596"/>
      <c r="O19" s="599"/>
      <c r="P19" s="48" t="e">
        <f>+Q19/$Q$9</f>
        <v>#DIV/0!</v>
      </c>
      <c r="Q19" s="49">
        <f>+C25</f>
        <v>0</v>
      </c>
      <c r="R19" s="14" t="str">
        <f>+B25</f>
        <v>MBS/treatm</v>
      </c>
    </row>
    <row r="20" spans="1:18">
      <c r="B20" s="635" t="s">
        <v>176</v>
      </c>
      <c r="C20" s="42">
        <f>+Calculation!$M$31</f>
        <v>0</v>
      </c>
      <c r="D20" s="596"/>
      <c r="E20" s="596"/>
      <c r="P20" s="48" t="e">
        <f>+Q20/$Q$9</f>
        <v>#DIV/0!</v>
      </c>
      <c r="Q20" s="49">
        <f>+C26</f>
        <v>0</v>
      </c>
      <c r="R20" s="14" t="str">
        <f>+B26</f>
        <v>Incineration</v>
      </c>
    </row>
    <row r="21" spans="1:18">
      <c r="B21" s="636" t="s">
        <v>177</v>
      </c>
      <c r="C21" s="42">
        <f>+Calculation!$M$32</f>
        <v>0</v>
      </c>
      <c r="D21" s="596"/>
      <c r="E21" s="596"/>
    </row>
    <row r="22" spans="1:18">
      <c r="B22" s="633" t="s">
        <v>86</v>
      </c>
      <c r="C22" s="52">
        <f>+Calculation!$M$33</f>
        <v>0</v>
      </c>
      <c r="D22" s="596"/>
      <c r="E22" s="596"/>
    </row>
    <row r="23" spans="1:18">
      <c r="B23" s="637" t="s">
        <v>649</v>
      </c>
      <c r="C23" s="42">
        <f>+Calculation!$M$34</f>
        <v>0</v>
      </c>
      <c r="D23" s="596"/>
      <c r="E23" s="596"/>
    </row>
    <row r="24" spans="1:18">
      <c r="B24" s="637" t="s">
        <v>650</v>
      </c>
      <c r="C24" s="42">
        <f>+Calculation!$M$35</f>
        <v>0</v>
      </c>
      <c r="D24" s="596"/>
      <c r="E24" s="596"/>
    </row>
    <row r="25" spans="1:18">
      <c r="B25" s="638" t="s">
        <v>844</v>
      </c>
      <c r="C25" s="42">
        <f>+Calculation!$M$36</f>
        <v>0</v>
      </c>
      <c r="D25" s="596"/>
      <c r="E25" s="596"/>
    </row>
    <row r="26" spans="1:18">
      <c r="B26" s="633" t="s">
        <v>27</v>
      </c>
      <c r="C26" s="42">
        <f>+Calculation!$M$37</f>
        <v>0</v>
      </c>
      <c r="D26" s="596"/>
      <c r="E26" s="596"/>
    </row>
    <row r="27" spans="1:18">
      <c r="D27" s="596"/>
      <c r="E27" s="596"/>
    </row>
    <row r="28" spans="1:18">
      <c r="C28" s="62"/>
      <c r="D28" s="62"/>
      <c r="E28" s="62"/>
    </row>
    <row r="29" spans="1:18" s="595" customFormat="1" ht="18">
      <c r="A29" s="40" t="s">
        <v>925</v>
      </c>
      <c r="B29" s="600"/>
    </row>
    <row r="30" spans="1:18" ht="13.5" thickBot="1">
      <c r="G30" s="299"/>
    </row>
    <row r="31" spans="1:18" ht="30.75" customHeight="1" thickBot="1">
      <c r="B31" s="54"/>
      <c r="C31" s="53" t="s">
        <v>166</v>
      </c>
      <c r="D31" s="229" t="s">
        <v>509</v>
      </c>
      <c r="E31" s="54" t="s">
        <v>169</v>
      </c>
      <c r="H31" s="75"/>
    </row>
    <row r="32" spans="1:18" ht="13.5" thickBot="1">
      <c r="B32" s="55" t="s">
        <v>4</v>
      </c>
      <c r="C32" s="53"/>
      <c r="D32" s="54"/>
      <c r="E32" s="54"/>
    </row>
    <row r="33" spans="2:5" ht="13.5" thickBot="1">
      <c r="B33" s="54"/>
      <c r="C33" s="54"/>
      <c r="D33" s="54"/>
      <c r="E33" s="54"/>
    </row>
    <row r="34" spans="2:5" ht="13.5" thickBot="1">
      <c r="B34" s="2" t="str">
        <f>+B63</f>
        <v>Food waste</v>
      </c>
      <c r="C34" s="53">
        <f>+C63</f>
        <v>0</v>
      </c>
      <c r="D34" s="53">
        <f>+C72</f>
        <v>0</v>
      </c>
      <c r="E34" s="53">
        <f t="shared" ref="E34:E40" si="8">+D34+C34</f>
        <v>0</v>
      </c>
    </row>
    <row r="35" spans="2:5" ht="13.5" thickBot="1">
      <c r="B35" s="2" t="str">
        <f t="shared" ref="B35:C40" si="9">+B64</f>
        <v>Garden and Park waste</v>
      </c>
      <c r="C35" s="53">
        <f t="shared" si="9"/>
        <v>0</v>
      </c>
      <c r="D35" s="53">
        <f t="shared" ref="D35:D40" si="10">+C73</f>
        <v>0</v>
      </c>
      <c r="E35" s="53">
        <f t="shared" si="8"/>
        <v>0</v>
      </c>
    </row>
    <row r="36" spans="2:5" ht="13.5" thickBot="1">
      <c r="B36" s="2" t="str">
        <f t="shared" si="9"/>
        <v>Paper, cardboard</v>
      </c>
      <c r="C36" s="53">
        <f t="shared" si="9"/>
        <v>0</v>
      </c>
      <c r="D36" s="53">
        <f t="shared" si="10"/>
        <v>0</v>
      </c>
      <c r="E36" s="53">
        <f t="shared" si="8"/>
        <v>0</v>
      </c>
    </row>
    <row r="37" spans="2:5" ht="13.5" thickBot="1">
      <c r="B37" s="2" t="str">
        <f t="shared" si="9"/>
        <v>Plastics</v>
      </c>
      <c r="C37" s="53">
        <f t="shared" si="9"/>
        <v>0</v>
      </c>
      <c r="D37" s="53">
        <f t="shared" si="10"/>
        <v>0</v>
      </c>
      <c r="E37" s="53">
        <f t="shared" si="8"/>
        <v>0</v>
      </c>
    </row>
    <row r="38" spans="2:5" ht="13.5" thickBot="1">
      <c r="B38" s="2" t="str">
        <f t="shared" si="9"/>
        <v>Glass</v>
      </c>
      <c r="C38" s="53">
        <f t="shared" si="9"/>
        <v>0</v>
      </c>
      <c r="D38" s="53">
        <f t="shared" si="10"/>
        <v>0</v>
      </c>
      <c r="E38" s="53">
        <f t="shared" si="8"/>
        <v>0</v>
      </c>
    </row>
    <row r="39" spans="2:5" ht="13.5" thickBot="1">
      <c r="B39" s="2" t="str">
        <f t="shared" si="9"/>
        <v>Ferrous Metals</v>
      </c>
      <c r="C39" s="53">
        <f t="shared" si="9"/>
        <v>0</v>
      </c>
      <c r="D39" s="53">
        <f t="shared" si="10"/>
        <v>0</v>
      </c>
      <c r="E39" s="53">
        <f t="shared" si="8"/>
        <v>0</v>
      </c>
    </row>
    <row r="40" spans="2:5" ht="13.5" thickBot="1">
      <c r="B40" s="2" t="str">
        <f t="shared" si="9"/>
        <v>Aluminium</v>
      </c>
      <c r="C40" s="53">
        <f t="shared" si="9"/>
        <v>0</v>
      </c>
      <c r="D40" s="53">
        <f t="shared" si="10"/>
        <v>0</v>
      </c>
      <c r="E40" s="53">
        <f t="shared" si="8"/>
        <v>0</v>
      </c>
    </row>
    <row r="41" spans="2:5" ht="13.5" thickBot="1">
      <c r="B41" s="2"/>
      <c r="C41" s="53"/>
      <c r="D41" s="53"/>
      <c r="E41" s="53"/>
    </row>
    <row r="42" spans="2:5" ht="13.5" thickBot="1">
      <c r="B42" s="3" t="s">
        <v>46</v>
      </c>
      <c r="C42" s="53"/>
      <c r="D42" s="53"/>
      <c r="E42" s="53"/>
    </row>
    <row r="43" spans="2:5" ht="13.5" thickBot="1">
      <c r="B43" s="54"/>
      <c r="C43" s="53"/>
      <c r="D43" s="53"/>
      <c r="E43" s="53"/>
    </row>
    <row r="44" spans="2:5" ht="13.5" thickBot="1">
      <c r="B44" s="56" t="str">
        <f>+Calculation!AD41</f>
        <v>Scattered waste not burned</v>
      </c>
      <c r="C44" s="53">
        <f t="shared" ref="C44:C53" si="11">+L63</f>
        <v>0</v>
      </c>
      <c r="D44" s="53">
        <f t="shared" ref="D44:D53" si="12">+L74</f>
        <v>0</v>
      </c>
      <c r="E44" s="53">
        <f t="shared" ref="E44:E53" si="13">+D44+C44</f>
        <v>0</v>
      </c>
    </row>
    <row r="45" spans="2:5" ht="13.5" thickBot="1">
      <c r="B45" s="56" t="str">
        <f>+Calculation!AD42</f>
        <v>Open burning of waste (incl. landfill fires)</v>
      </c>
      <c r="C45" s="53" t="e">
        <f t="shared" si="11"/>
        <v>#DIV/0!</v>
      </c>
      <c r="D45" s="53">
        <f t="shared" si="12"/>
        <v>0</v>
      </c>
      <c r="E45" s="53" t="e">
        <f t="shared" si="13"/>
        <v>#DIV/0!</v>
      </c>
    </row>
    <row r="46" spans="2:5" ht="13.5" thickBot="1">
      <c r="B46" s="56" t="str">
        <f>+Calculation!AD43</f>
        <v>Wild dumps/unmanaged disposal site</v>
      </c>
      <c r="C46" s="53" t="e">
        <f t="shared" si="11"/>
        <v>#DIV/0!</v>
      </c>
      <c r="D46" s="53">
        <f t="shared" si="12"/>
        <v>0</v>
      </c>
      <c r="E46" s="53" t="e">
        <f t="shared" si="13"/>
        <v>#DIV/0!</v>
      </c>
    </row>
    <row r="47" spans="2:5" ht="13.5" thickBot="1">
      <c r="B47" s="56" t="str">
        <f>+Calculation!AD44</f>
        <v>Controlled dump/landfill without gas collection</v>
      </c>
      <c r="C47" s="53" t="e">
        <f t="shared" si="11"/>
        <v>#DIV/0!</v>
      </c>
      <c r="D47" s="53">
        <f t="shared" si="12"/>
        <v>0</v>
      </c>
      <c r="E47" s="53" t="e">
        <f t="shared" si="13"/>
        <v>#DIV/0!</v>
      </c>
    </row>
    <row r="48" spans="2:5" ht="13.5" thickBot="1">
      <c r="B48" s="56" t="str">
        <f>+Calculation!AD45</f>
        <v>Sanitary landfill with gas collection</v>
      </c>
      <c r="C48" s="53" t="e">
        <f t="shared" si="11"/>
        <v>#DIV/0!</v>
      </c>
      <c r="D48" s="53" t="e">
        <f t="shared" si="12"/>
        <v>#DIV/0!</v>
      </c>
      <c r="E48" s="53" t="e">
        <f t="shared" si="13"/>
        <v>#DIV/0!</v>
      </c>
    </row>
    <row r="49" spans="1:13" ht="13.5" thickBot="1">
      <c r="B49" s="56" t="str">
        <f>+Calculation!AD46</f>
        <v>BS + landfill</v>
      </c>
      <c r="C49" s="53" t="e">
        <f t="shared" si="11"/>
        <v>#DIV/0!</v>
      </c>
      <c r="D49" s="53">
        <f t="shared" si="12"/>
        <v>0</v>
      </c>
      <c r="E49" s="53" t="e">
        <f t="shared" si="13"/>
        <v>#DIV/0!</v>
      </c>
    </row>
    <row r="50" spans="1:13" ht="13.5" thickBot="1">
      <c r="B50" s="56" t="str">
        <f>+Calculation!AD47</f>
        <v>MBT aerobic + further treatment</v>
      </c>
      <c r="C50" s="53">
        <f t="shared" si="11"/>
        <v>0</v>
      </c>
      <c r="D50" s="53">
        <f t="shared" si="12"/>
        <v>0</v>
      </c>
      <c r="E50" s="53">
        <f t="shared" si="13"/>
        <v>0</v>
      </c>
    </row>
    <row r="51" spans="1:13" ht="13.5" thickBot="1">
      <c r="B51" s="56" t="str">
        <f>+Calculation!AD48</f>
        <v>MBT anaerobic + further treatment</v>
      </c>
      <c r="C51" s="53">
        <f t="shared" si="11"/>
        <v>0</v>
      </c>
      <c r="D51" s="53">
        <f t="shared" si="12"/>
        <v>0</v>
      </c>
      <c r="E51" s="53">
        <f t="shared" ref="E51" si="14">+D51+C51</f>
        <v>0</v>
      </c>
    </row>
    <row r="52" spans="1:13" ht="13.5" thickBot="1">
      <c r="B52" s="56" t="str">
        <f>+Calculation!AD49</f>
        <v>MBS + further treatment</v>
      </c>
      <c r="C52" s="53">
        <f t="shared" si="11"/>
        <v>0</v>
      </c>
      <c r="D52" s="53">
        <f t="shared" si="12"/>
        <v>0</v>
      </c>
      <c r="E52" s="53">
        <f t="shared" si="13"/>
        <v>0</v>
      </c>
      <c r="G52" s="57"/>
      <c r="H52" s="58"/>
      <c r="I52" s="58"/>
      <c r="J52" s="58"/>
    </row>
    <row r="53" spans="1:13" ht="13.5" thickBot="1">
      <c r="B53" s="56" t="str">
        <f>+Calculation!AD50</f>
        <v>Incineration</v>
      </c>
      <c r="C53" s="53" t="e">
        <f t="shared" si="11"/>
        <v>#DIV/0!</v>
      </c>
      <c r="D53" s="53" t="e">
        <f t="shared" si="12"/>
        <v>#DIV/0!</v>
      </c>
      <c r="E53" s="53" t="e">
        <f t="shared" si="13"/>
        <v>#DIV/0!</v>
      </c>
      <c r="H53" s="57" t="s">
        <v>38</v>
      </c>
      <c r="I53" s="57" t="s">
        <v>6</v>
      </c>
      <c r="J53" s="57" t="s">
        <v>120</v>
      </c>
    </row>
    <row r="54" spans="1:13" ht="13.5" thickBot="1">
      <c r="B54" s="54"/>
      <c r="C54" s="53"/>
      <c r="D54" s="53"/>
      <c r="E54" s="53"/>
      <c r="G54" s="58" t="s">
        <v>42</v>
      </c>
      <c r="H54" s="59">
        <f>SUM(C34:C40)</f>
        <v>0</v>
      </c>
      <c r="I54" s="59" t="e">
        <f>SUM(C44:C53)</f>
        <v>#DIV/0!</v>
      </c>
      <c r="J54" s="59" t="e">
        <f>+I54+H54</f>
        <v>#DIV/0!</v>
      </c>
    </row>
    <row r="55" spans="1:13" ht="13.5" thickBot="1">
      <c r="B55" s="3" t="s">
        <v>23</v>
      </c>
      <c r="C55" s="60" t="e">
        <f>SUM(C34:C53)</f>
        <v>#DIV/0!</v>
      </c>
      <c r="D55" s="60" t="e">
        <f>SUM(D34:D53)</f>
        <v>#DIV/0!</v>
      </c>
      <c r="E55" s="60" t="e">
        <f>+D55+C55</f>
        <v>#DIV/0!</v>
      </c>
      <c r="G55" s="58" t="s">
        <v>43</v>
      </c>
      <c r="H55" s="59">
        <f>SUM(D34:D40)</f>
        <v>0</v>
      </c>
      <c r="I55" s="59" t="e">
        <f>SUM(D44:D53)</f>
        <v>#DIV/0!</v>
      </c>
      <c r="J55" s="59" t="e">
        <f>+I55+H55</f>
        <v>#DIV/0!</v>
      </c>
    </row>
    <row r="56" spans="1:13">
      <c r="G56" s="58" t="s">
        <v>44</v>
      </c>
      <c r="H56" s="59">
        <f>+H54+H55</f>
        <v>0</v>
      </c>
      <c r="I56" s="59" t="e">
        <f>+I54+I55</f>
        <v>#DIV/0!</v>
      </c>
      <c r="J56" s="59" t="e">
        <f>+I56+H56</f>
        <v>#DIV/0!</v>
      </c>
    </row>
    <row r="57" spans="1:13">
      <c r="G57" s="57"/>
      <c r="H57" s="59"/>
      <c r="I57" s="59"/>
      <c r="J57" s="59"/>
    </row>
    <row r="58" spans="1:13">
      <c r="G58" s="57"/>
      <c r="H58" s="58"/>
      <c r="I58" s="58"/>
      <c r="J58" s="59"/>
      <c r="K58" s="62"/>
    </row>
    <row r="59" spans="1:13">
      <c r="G59" s="57"/>
      <c r="H59" s="58"/>
      <c r="I59" s="58"/>
      <c r="J59" s="59"/>
      <c r="K59" s="62"/>
    </row>
    <row r="60" spans="1:13" s="601" customFormat="1" ht="15.75">
      <c r="A60" s="61" t="s">
        <v>926</v>
      </c>
      <c r="J60" s="602"/>
      <c r="K60" s="61" t="s">
        <v>927</v>
      </c>
    </row>
    <row r="61" spans="1:13" ht="18">
      <c r="A61" s="13"/>
    </row>
    <row r="62" spans="1:13">
      <c r="B62" s="603"/>
      <c r="C62" s="14" t="s">
        <v>38</v>
      </c>
      <c r="D62" s="14" t="s">
        <v>39</v>
      </c>
      <c r="K62" s="38"/>
      <c r="L62" s="38" t="s">
        <v>6</v>
      </c>
      <c r="M62" s="14" t="s">
        <v>39</v>
      </c>
    </row>
    <row r="63" spans="1:13">
      <c r="B63" s="38" t="str">
        <f>+Calculation!AD12</f>
        <v>Food waste</v>
      </c>
      <c r="C63" s="62">
        <f>+Calculation!AE12</f>
        <v>0</v>
      </c>
      <c r="K63" s="63" t="str">
        <f t="shared" ref="K63:K71" si="15">+B17</f>
        <v>Scattered</v>
      </c>
      <c r="L63" s="62">
        <f>+Calculation!AE41</f>
        <v>0</v>
      </c>
    </row>
    <row r="64" spans="1:13">
      <c r="B64" s="38" t="str">
        <f>+Calculation!AD13</f>
        <v>Garden and Park waste</v>
      </c>
      <c r="C64" s="62">
        <f>+Calculation!AE13</f>
        <v>0</v>
      </c>
      <c r="K64" s="63" t="str">
        <f t="shared" si="15"/>
        <v>Burned-open</v>
      </c>
      <c r="L64" s="62" t="e">
        <f>+Calculation!AE42</f>
        <v>#DIV/0!</v>
      </c>
    </row>
    <row r="65" spans="1:12">
      <c r="B65" s="38" t="str">
        <f>+Calculation!AD14</f>
        <v>Paper, cardboard</v>
      </c>
      <c r="C65" s="62">
        <f>+Calculation!AE14</f>
        <v>0</v>
      </c>
      <c r="K65" s="63" t="str">
        <f t="shared" si="15"/>
        <v>Wild dump</v>
      </c>
      <c r="L65" s="62" t="e">
        <f>+Calculation!AE43</f>
        <v>#DIV/0!</v>
      </c>
    </row>
    <row r="66" spans="1:12">
      <c r="B66" s="38" t="str">
        <f>+Calculation!AD15</f>
        <v>Plastics</v>
      </c>
      <c r="C66" s="62">
        <f>+Calculation!AE15</f>
        <v>0</v>
      </c>
      <c r="K66" s="63" t="str">
        <f t="shared" si="15"/>
        <v>Controlled landfill</v>
      </c>
      <c r="L66" s="62" t="e">
        <f>+Calculation!AE44</f>
        <v>#DIV/0!</v>
      </c>
    </row>
    <row r="67" spans="1:12">
      <c r="B67" s="38" t="str">
        <f>+Calculation!AD16</f>
        <v>Glass</v>
      </c>
      <c r="C67" s="62">
        <f>+Calculation!AE16</f>
        <v>0</v>
      </c>
      <c r="K67" s="63" t="str">
        <f t="shared" si="15"/>
        <v>Sanitary landfill</v>
      </c>
      <c r="L67" s="62" t="e">
        <f>+Calculation!AE45</f>
        <v>#DIV/0!</v>
      </c>
    </row>
    <row r="68" spans="1:12">
      <c r="B68" s="38" t="str">
        <f>+Calculation!AD17</f>
        <v>Ferrous Metals</v>
      </c>
      <c r="C68" s="62">
        <f>+Calculation!AE17</f>
        <v>0</v>
      </c>
      <c r="K68" s="63" t="str">
        <f t="shared" si="15"/>
        <v>BS/landfill</v>
      </c>
      <c r="L68" s="62" t="e">
        <f>+Calculation!AE46</f>
        <v>#DIV/0!</v>
      </c>
    </row>
    <row r="69" spans="1:12">
      <c r="B69" s="38" t="str">
        <f>+Calculation!AD18</f>
        <v>Aluminium</v>
      </c>
      <c r="C69" s="62">
        <f>+Calculation!AE18</f>
        <v>0</v>
      </c>
      <c r="K69" s="63" t="str">
        <f t="shared" si="15"/>
        <v>MBTaerobic/treatm</v>
      </c>
      <c r="L69" s="62">
        <f>+Calculation!AE47</f>
        <v>0</v>
      </c>
    </row>
    <row r="70" spans="1:12">
      <c r="A70" s="62"/>
      <c r="B70" s="38"/>
      <c r="C70" s="62"/>
      <c r="K70" s="63" t="str">
        <f t="shared" si="15"/>
        <v>MBTanaerobic/treatm</v>
      </c>
      <c r="L70" s="62">
        <f>+Calculation!AE48</f>
        <v>0</v>
      </c>
    </row>
    <row r="71" spans="1:12">
      <c r="B71" s="64" t="s">
        <v>40</v>
      </c>
      <c r="D71" s="62"/>
      <c r="K71" s="63" t="str">
        <f t="shared" si="15"/>
        <v>MBS/treatm</v>
      </c>
      <c r="L71" s="62">
        <f>+Calculation!AE49</f>
        <v>0</v>
      </c>
    </row>
    <row r="72" spans="1:12">
      <c r="B72" s="63" t="str">
        <f>+Calculation!AD20</f>
        <v>Food waste</v>
      </c>
      <c r="C72" s="62">
        <f>+Calculation!AE20</f>
        <v>0</v>
      </c>
      <c r="K72" s="65" t="s">
        <v>27</v>
      </c>
      <c r="L72" s="62" t="e">
        <f>+Calculation!AE50</f>
        <v>#DIV/0!</v>
      </c>
    </row>
    <row r="73" spans="1:12">
      <c r="B73" s="63" t="str">
        <f>+Calculation!AD21</f>
        <v>Garden and Park waste</v>
      </c>
      <c r="C73" s="62">
        <f>+Calculation!AE21</f>
        <v>0</v>
      </c>
      <c r="K73" s="66" t="s">
        <v>40</v>
      </c>
    </row>
    <row r="74" spans="1:12">
      <c r="B74" s="63" t="str">
        <f>+Calculation!AD22</f>
        <v>Paper, cardboard</v>
      </c>
      <c r="C74" s="62">
        <f>+Calculation!AE22</f>
        <v>0</v>
      </c>
      <c r="K74" s="67" t="str">
        <f>+K63</f>
        <v>Scattered</v>
      </c>
      <c r="L74" s="63">
        <f>+Calculation!AE52</f>
        <v>0</v>
      </c>
    </row>
    <row r="75" spans="1:12">
      <c r="B75" s="63" t="str">
        <f>+Calculation!AD23</f>
        <v>Plastics</v>
      </c>
      <c r="C75" s="62">
        <f>+Calculation!AE23</f>
        <v>0</v>
      </c>
      <c r="K75" s="67" t="str">
        <f t="shared" ref="K75:K82" si="16">+K64</f>
        <v>Burned-open</v>
      </c>
      <c r="L75" s="63">
        <f>+Calculation!AE53</f>
        <v>0</v>
      </c>
    </row>
    <row r="76" spans="1:12">
      <c r="B76" s="63" t="str">
        <f>+Calculation!AD24</f>
        <v>Glass</v>
      </c>
      <c r="C76" s="62">
        <f>+Calculation!AE24</f>
        <v>0</v>
      </c>
      <c r="K76" s="67" t="str">
        <f t="shared" si="16"/>
        <v>Wild dump</v>
      </c>
      <c r="L76" s="63">
        <f>+Calculation!AE54</f>
        <v>0</v>
      </c>
    </row>
    <row r="77" spans="1:12">
      <c r="B77" s="63" t="str">
        <f>+Calculation!AD25</f>
        <v>Ferrous Metals</v>
      </c>
      <c r="C77" s="62">
        <f>+Calculation!AE25</f>
        <v>0</v>
      </c>
      <c r="K77" s="67" t="str">
        <f t="shared" si="16"/>
        <v>Controlled landfill</v>
      </c>
      <c r="L77" s="63">
        <f>+Calculation!AE55</f>
        <v>0</v>
      </c>
    </row>
    <row r="78" spans="1:12">
      <c r="B78" s="63" t="str">
        <f>+Calculation!AD26</f>
        <v>Aluminium</v>
      </c>
      <c r="C78" s="62">
        <f>+Calculation!AE26</f>
        <v>0</v>
      </c>
      <c r="K78" s="67" t="str">
        <f t="shared" si="16"/>
        <v>Sanitary landfill</v>
      </c>
      <c r="L78" s="63" t="e">
        <f>+Calculation!AE56</f>
        <v>#DIV/0!</v>
      </c>
    </row>
    <row r="79" spans="1:12">
      <c r="B79" s="63"/>
      <c r="C79" s="62"/>
      <c r="K79" s="67" t="str">
        <f t="shared" si="16"/>
        <v>BS/landfill</v>
      </c>
      <c r="L79" s="63">
        <f>+Calculation!AE57</f>
        <v>0</v>
      </c>
    </row>
    <row r="80" spans="1:12">
      <c r="B80" s="64" t="s">
        <v>41</v>
      </c>
      <c r="D80" s="62"/>
      <c r="K80" s="67" t="str">
        <f t="shared" si="16"/>
        <v>MBTaerobic/treatm</v>
      </c>
      <c r="L80" s="63">
        <f>+Calculation!AE58</f>
        <v>0</v>
      </c>
    </row>
    <row r="81" spans="1:13">
      <c r="B81" s="64" t="s">
        <v>39</v>
      </c>
      <c r="D81" s="68">
        <f>SUM(C63:C70,C72:C79)</f>
        <v>0</v>
      </c>
      <c r="K81" s="67" t="str">
        <f t="shared" si="16"/>
        <v>MBTanaerobic/treatm</v>
      </c>
      <c r="L81" s="63">
        <f>+Calculation!AE59</f>
        <v>0</v>
      </c>
    </row>
    <row r="82" spans="1:13">
      <c r="K82" s="67" t="str">
        <f t="shared" si="16"/>
        <v>MBS/treatm</v>
      </c>
      <c r="L82" s="63">
        <f>+Calculation!AE60</f>
        <v>0</v>
      </c>
    </row>
    <row r="83" spans="1:13">
      <c r="E83" s="299"/>
      <c r="K83" s="67" t="str">
        <f>+K72</f>
        <v>Incineration</v>
      </c>
      <c r="L83" s="63" t="e">
        <f>+Calculation!AE61</f>
        <v>#DIV/0!</v>
      </c>
    </row>
    <row r="84" spans="1:13">
      <c r="E84" s="299"/>
      <c r="K84" s="66" t="s">
        <v>41</v>
      </c>
    </row>
    <row r="85" spans="1:13">
      <c r="E85" s="299"/>
      <c r="K85" s="64" t="s">
        <v>39</v>
      </c>
      <c r="M85" s="68" t="e">
        <f>SUM(L63:L72,L74:L83)</f>
        <v>#DIV/0!</v>
      </c>
    </row>
    <row r="87" spans="1:13" s="595" customFormat="1" ht="18">
      <c r="A87" s="40" t="s">
        <v>12</v>
      </c>
    </row>
    <row r="89" spans="1:13" ht="13.5" thickBot="1"/>
    <row r="90" spans="1:13" ht="13.5" thickBot="1">
      <c r="B90" s="69"/>
      <c r="C90" s="604"/>
      <c r="D90" s="54" t="str">
        <f>+Calculation!AK3</f>
        <v>Euro/yr</v>
      </c>
    </row>
    <row r="91" spans="1:13" ht="13.5" thickBot="1">
      <c r="B91" s="69" t="str">
        <f>+Calculation!AJ4</f>
        <v>Recycled dry waste</v>
      </c>
      <c r="C91" s="604"/>
      <c r="D91" s="53">
        <f>+Calculation!AK4</f>
        <v>0</v>
      </c>
    </row>
    <row r="92" spans="1:13" ht="13.5" thickBot="1">
      <c r="B92" s="69" t="str">
        <f>+Calculation!AJ5</f>
        <v>Composted organic waste</v>
      </c>
      <c r="C92" s="604"/>
      <c r="D92" s="53">
        <f>+Calculation!AK5</f>
        <v>0</v>
      </c>
    </row>
    <row r="93" spans="1:13" ht="13.5" thickBot="1">
      <c r="B93" s="69" t="str">
        <f>+Calculation!AJ6</f>
        <v>Digested organic waste</v>
      </c>
      <c r="C93" s="604"/>
      <c r="D93" s="53">
        <f>+Calculation!AK6</f>
        <v>0</v>
      </c>
    </row>
    <row r="94" spans="1:13" ht="13.5" thickBot="1">
      <c r="B94" s="69" t="str">
        <f>+Calculation!AJ7</f>
        <v>Residual waste to controlled dump/landfill without gas collection</v>
      </c>
      <c r="C94" s="604"/>
      <c r="D94" s="53">
        <f>+Calculation!AK7</f>
        <v>0</v>
      </c>
    </row>
    <row r="95" spans="1:13" ht="13.5" thickBot="1">
      <c r="B95" s="69" t="str">
        <f>+Calculation!AJ8</f>
        <v>Residual waste to sanitary landfill with gas collection</v>
      </c>
      <c r="C95" s="604"/>
      <c r="D95" s="53">
        <f>+Calculation!AK8</f>
        <v>0</v>
      </c>
    </row>
    <row r="96" spans="1:13" ht="13.5" thickBot="1">
      <c r="B96" s="69" t="str">
        <f>+Calculation!AJ9</f>
        <v>Residual waste to BS/landfill</v>
      </c>
      <c r="C96" s="604"/>
      <c r="D96" s="53">
        <f>+Calculation!AK9</f>
        <v>0</v>
      </c>
    </row>
    <row r="97" spans="1:4" ht="13.5" thickBot="1">
      <c r="B97" s="69" t="str">
        <f>+Calculation!AJ10</f>
        <v>Residual waste to MBT aerobic + further treatment</v>
      </c>
      <c r="C97" s="604"/>
      <c r="D97" s="53">
        <f>+Calculation!AK10</f>
        <v>0</v>
      </c>
    </row>
    <row r="98" spans="1:4" ht="13.5" thickBot="1">
      <c r="B98" s="69" t="str">
        <f>+Calculation!AJ11</f>
        <v>Residual waste to MBT anaerobic + further treatment</v>
      </c>
      <c r="C98" s="604"/>
      <c r="D98" s="53">
        <f>+Calculation!AK11</f>
        <v>0</v>
      </c>
    </row>
    <row r="99" spans="1:4" ht="13.5" thickBot="1">
      <c r="B99" s="69" t="str">
        <f>+Calculation!AJ12</f>
        <v>Residual waste to MBS + further treatment</v>
      </c>
      <c r="C99" s="604"/>
      <c r="D99" s="53">
        <f>+Calculation!AK12</f>
        <v>0</v>
      </c>
    </row>
    <row r="100" spans="1:4" ht="13.5" thickBot="1">
      <c r="B100" s="69" t="str">
        <f>+Calculation!AJ13</f>
        <v>Residual waste to MSWI</v>
      </c>
      <c r="C100" s="604"/>
      <c r="D100" s="53">
        <f>+Calculation!AK13</f>
        <v>0</v>
      </c>
    </row>
    <row r="101" spans="1:4" ht="13.5" thickBot="1">
      <c r="B101" s="70" t="str">
        <f>+Calculation!AJ14</f>
        <v>Total</v>
      </c>
      <c r="C101" s="604"/>
      <c r="D101" s="60">
        <f>SUM(D91:D100)</f>
        <v>0</v>
      </c>
    </row>
    <row r="104" spans="1:4" ht="18">
      <c r="A104" s="71" t="s">
        <v>928</v>
      </c>
    </row>
    <row r="105" spans="1:4" ht="16.5" thickBot="1">
      <c r="D105" s="75"/>
    </row>
    <row r="106" spans="1:4" ht="13.5" thickBot="1">
      <c r="B106" s="69" t="s">
        <v>133</v>
      </c>
      <c r="C106" s="604"/>
      <c r="D106" s="53" t="e">
        <f>+E55</f>
        <v>#DIV/0!</v>
      </c>
    </row>
    <row r="107" spans="1:4" ht="13.5" thickBot="1">
      <c r="B107" s="69" t="s">
        <v>180</v>
      </c>
      <c r="C107" s="604"/>
      <c r="D107" s="53">
        <f>+D101</f>
        <v>0</v>
      </c>
    </row>
    <row r="108" spans="1:4" ht="13.5" thickBot="1">
      <c r="B108" s="69" t="s">
        <v>181</v>
      </c>
      <c r="C108" s="604"/>
      <c r="D108" s="72" t="e">
        <f>+D107/D106</f>
        <v>#DIV/0!</v>
      </c>
    </row>
  </sheetData>
  <sheetProtection password="AAA9" sheet="1"/>
  <mergeCells count="2">
    <mergeCell ref="O5:P5"/>
    <mergeCell ref="O6:P6"/>
  </mergeCells>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R108"/>
  <sheetViews>
    <sheetView zoomScaleNormal="100" workbookViewId="0"/>
  </sheetViews>
  <sheetFormatPr baseColWidth="10" defaultColWidth="11.5703125" defaultRowHeight="12.75"/>
  <cols>
    <col min="1" max="1" width="8.5703125" style="14" customWidth="1"/>
    <col min="2" max="2" width="37.28515625" style="14" customWidth="1"/>
    <col min="3" max="3" width="15.28515625" style="14" customWidth="1"/>
    <col min="4" max="4" width="15.7109375" style="14" bestFit="1" customWidth="1"/>
    <col min="5" max="5" width="13.28515625" style="14" customWidth="1"/>
    <col min="6" max="12" width="11.5703125" style="14"/>
    <col min="13" max="13" width="10.7109375" style="14" customWidth="1"/>
    <col min="14" max="16384" width="11.5703125" style="14"/>
  </cols>
  <sheetData>
    <row r="1" spans="1:18" s="595" customFormat="1" ht="18">
      <c r="A1" s="40" t="s">
        <v>131</v>
      </c>
      <c r="D1" s="605"/>
    </row>
    <row r="2" spans="1:18" ht="13.9" customHeight="1">
      <c r="A2" s="13"/>
    </row>
    <row r="3" spans="1:18">
      <c r="B3" s="41" t="s">
        <v>7</v>
      </c>
      <c r="C3" s="42">
        <f>+Calculation!N39</f>
        <v>0</v>
      </c>
      <c r="D3" s="596"/>
      <c r="E3" s="596"/>
    </row>
    <row r="4" spans="1:18" ht="13.5" thickBot="1">
      <c r="B4" s="22"/>
      <c r="C4" s="597"/>
      <c r="D4" s="598"/>
      <c r="E4" s="598"/>
    </row>
    <row r="5" spans="1:18">
      <c r="B5" s="41" t="s">
        <v>4</v>
      </c>
      <c r="C5" s="42">
        <f>+Calculation!N14</f>
        <v>0</v>
      </c>
      <c r="D5" s="596"/>
      <c r="E5" s="596"/>
      <c r="O5" s="784" t="s">
        <v>132</v>
      </c>
      <c r="P5" s="785"/>
    </row>
    <row r="6" spans="1:18" ht="13.5" thickBot="1">
      <c r="B6" s="22" t="s">
        <v>5</v>
      </c>
      <c r="C6" s="42"/>
      <c r="D6" s="596"/>
      <c r="E6" s="596"/>
      <c r="O6" s="786">
        <f>+C3</f>
        <v>0</v>
      </c>
      <c r="P6" s="787"/>
    </row>
    <row r="7" spans="1:18">
      <c r="B7" s="1" t="s">
        <v>90</v>
      </c>
      <c r="C7" s="42">
        <f>+Calculation!N7</f>
        <v>0</v>
      </c>
      <c r="D7" s="596"/>
      <c r="E7" s="596"/>
      <c r="M7" s="299"/>
    </row>
    <row r="8" spans="1:18" ht="13.5" thickBot="1">
      <c r="B8" s="1" t="s">
        <v>173</v>
      </c>
      <c r="C8" s="42">
        <f>+Calculation!N8</f>
        <v>0</v>
      </c>
      <c r="D8" s="596"/>
      <c r="E8" s="596"/>
    </row>
    <row r="9" spans="1:18" ht="13.5" thickBot="1">
      <c r="B9" s="1" t="s">
        <v>20</v>
      </c>
      <c r="C9" s="42">
        <f>+Calculation!N9</f>
        <v>0</v>
      </c>
      <c r="D9" s="596"/>
      <c r="E9" s="596"/>
      <c r="M9" s="38" t="s">
        <v>121</v>
      </c>
      <c r="N9" s="79">
        <f>+C5</f>
        <v>0</v>
      </c>
      <c r="O9" s="43" t="e">
        <f>+N9/O6</f>
        <v>#DIV/0!</v>
      </c>
      <c r="P9" s="44" t="e">
        <f>+Q9/O6</f>
        <v>#DIV/0!</v>
      </c>
      <c r="Q9" s="45">
        <f>+C15</f>
        <v>0</v>
      </c>
      <c r="R9" s="23" t="s">
        <v>122</v>
      </c>
    </row>
    <row r="10" spans="1:18">
      <c r="B10" s="1" t="s">
        <v>21</v>
      </c>
      <c r="C10" s="42">
        <f>+Calculation!N10</f>
        <v>0</v>
      </c>
      <c r="D10" s="596"/>
      <c r="E10" s="596"/>
      <c r="N10" s="62"/>
      <c r="Q10" s="62"/>
    </row>
    <row r="11" spans="1:18">
      <c r="B11" s="1" t="s">
        <v>22</v>
      </c>
      <c r="C11" s="42">
        <f>+Calculation!N11</f>
        <v>0</v>
      </c>
      <c r="D11" s="596"/>
      <c r="E11" s="596"/>
      <c r="M11" s="46" t="str">
        <f t="shared" ref="M11:N17" si="0">+B7</f>
        <v>Food waste</v>
      </c>
      <c r="N11" s="80">
        <f t="shared" si="0"/>
        <v>0</v>
      </c>
      <c r="O11" s="73" t="e">
        <f t="shared" ref="O11:O17" si="1">+N11/$N$9</f>
        <v>#DIV/0!</v>
      </c>
      <c r="P11" s="74" t="e">
        <f t="shared" ref="P11:P17" si="2">+Q11/$Q$9</f>
        <v>#DIV/0!</v>
      </c>
      <c r="Q11" s="49">
        <f t="shared" ref="Q11:Q17" si="3">+C17</f>
        <v>0</v>
      </c>
      <c r="R11" s="14" t="str">
        <f t="shared" ref="R11:R17" si="4">+B17</f>
        <v>Scattered</v>
      </c>
    </row>
    <row r="12" spans="1:18">
      <c r="B12" s="1" t="s">
        <v>143</v>
      </c>
      <c r="C12" s="42">
        <f>+Calculation!N12</f>
        <v>0</v>
      </c>
      <c r="D12" s="596"/>
      <c r="E12" s="596"/>
      <c r="M12" s="46" t="str">
        <f t="shared" si="0"/>
        <v>Garden &amp; park waste</v>
      </c>
      <c r="N12" s="80">
        <f t="shared" si="0"/>
        <v>0</v>
      </c>
      <c r="O12" s="73" t="e">
        <f t="shared" si="1"/>
        <v>#DIV/0!</v>
      </c>
      <c r="P12" s="74" t="e">
        <f t="shared" si="2"/>
        <v>#DIV/0!</v>
      </c>
      <c r="Q12" s="49">
        <f t="shared" si="3"/>
        <v>0</v>
      </c>
      <c r="R12" s="14" t="str">
        <f t="shared" si="4"/>
        <v>Burned-open</v>
      </c>
    </row>
    <row r="13" spans="1:18">
      <c r="B13" s="1" t="s">
        <v>94</v>
      </c>
      <c r="C13" s="42">
        <f>+Calculation!N13</f>
        <v>0</v>
      </c>
      <c r="D13" s="596"/>
      <c r="E13" s="596"/>
      <c r="M13" s="46" t="str">
        <f t="shared" si="0"/>
        <v>Paper, cardboard</v>
      </c>
      <c r="N13" s="80">
        <f t="shared" si="0"/>
        <v>0</v>
      </c>
      <c r="O13" s="73" t="e">
        <f t="shared" si="1"/>
        <v>#DIV/0!</v>
      </c>
      <c r="P13" s="74" t="e">
        <f t="shared" si="2"/>
        <v>#DIV/0!</v>
      </c>
      <c r="Q13" s="49">
        <f t="shared" si="3"/>
        <v>0</v>
      </c>
      <c r="R13" s="14" t="str">
        <f t="shared" si="4"/>
        <v>Wild dump</v>
      </c>
    </row>
    <row r="14" spans="1:18">
      <c r="B14" s="1"/>
      <c r="C14" s="42"/>
      <c r="D14" s="596"/>
      <c r="E14" s="596"/>
      <c r="M14" s="46" t="str">
        <f t="shared" si="0"/>
        <v>Plastics</v>
      </c>
      <c r="N14" s="80">
        <f t="shared" si="0"/>
        <v>0</v>
      </c>
      <c r="O14" s="73" t="e">
        <f t="shared" si="1"/>
        <v>#DIV/0!</v>
      </c>
      <c r="P14" s="74" t="e">
        <f t="shared" si="2"/>
        <v>#DIV/0!</v>
      </c>
      <c r="Q14" s="49">
        <f t="shared" si="3"/>
        <v>0</v>
      </c>
      <c r="R14" s="14" t="str">
        <f t="shared" si="4"/>
        <v>Controlled landfill</v>
      </c>
    </row>
    <row r="15" spans="1:18">
      <c r="B15" s="4" t="s">
        <v>6</v>
      </c>
      <c r="C15" s="42">
        <f>+Calculation!N38</f>
        <v>0</v>
      </c>
      <c r="D15" s="596"/>
      <c r="E15" s="596"/>
      <c r="M15" s="46" t="str">
        <f t="shared" si="0"/>
        <v>Glass</v>
      </c>
      <c r="N15" s="80">
        <f t="shared" si="0"/>
        <v>0</v>
      </c>
      <c r="O15" s="73" t="e">
        <f t="shared" si="1"/>
        <v>#DIV/0!</v>
      </c>
      <c r="P15" s="74" t="e">
        <f t="shared" si="2"/>
        <v>#DIV/0!</v>
      </c>
      <c r="Q15" s="49">
        <f t="shared" si="3"/>
        <v>0</v>
      </c>
      <c r="R15" s="14" t="str">
        <f t="shared" si="4"/>
        <v>Sanitary landfill</v>
      </c>
    </row>
    <row r="16" spans="1:18">
      <c r="B16" s="22" t="s">
        <v>5</v>
      </c>
      <c r="C16" s="42"/>
      <c r="D16" s="596"/>
      <c r="E16" s="596"/>
      <c r="M16" s="46" t="str">
        <f t="shared" si="0"/>
        <v>Ferrous metals</v>
      </c>
      <c r="N16" s="80">
        <f t="shared" si="0"/>
        <v>0</v>
      </c>
      <c r="O16" s="73" t="e">
        <f t="shared" si="1"/>
        <v>#DIV/0!</v>
      </c>
      <c r="P16" s="74" t="e">
        <f t="shared" si="2"/>
        <v>#DIV/0!</v>
      </c>
      <c r="Q16" s="49">
        <f t="shared" si="3"/>
        <v>0</v>
      </c>
      <c r="R16" s="14" t="str">
        <f t="shared" si="4"/>
        <v>BS/landfill</v>
      </c>
    </row>
    <row r="17" spans="1:18">
      <c r="B17" s="50" t="s">
        <v>174</v>
      </c>
      <c r="C17" s="42">
        <f>+Calculation!N28</f>
        <v>0</v>
      </c>
      <c r="D17" s="596"/>
      <c r="E17" s="596"/>
      <c r="M17" s="46" t="str">
        <f t="shared" si="0"/>
        <v>Aluminium</v>
      </c>
      <c r="N17" s="80">
        <f t="shared" si="0"/>
        <v>0</v>
      </c>
      <c r="O17" s="73" t="e">
        <f t="shared" si="1"/>
        <v>#DIV/0!</v>
      </c>
      <c r="P17" s="74" t="e">
        <f t="shared" si="2"/>
        <v>#DIV/0!</v>
      </c>
      <c r="Q17" s="49">
        <f t="shared" si="3"/>
        <v>0</v>
      </c>
      <c r="R17" s="14" t="str">
        <f t="shared" si="4"/>
        <v>MBTaerobic/treatm</v>
      </c>
    </row>
    <row r="18" spans="1:18">
      <c r="B18" s="50" t="s">
        <v>175</v>
      </c>
      <c r="C18" s="42">
        <f>+Calculation!N29</f>
        <v>0</v>
      </c>
      <c r="D18" s="596"/>
      <c r="E18" s="596"/>
      <c r="O18" s="599"/>
      <c r="P18" s="74" t="e">
        <f t="shared" ref="P18" si="5">+Q18/$Q$9</f>
        <v>#DIV/0!</v>
      </c>
      <c r="Q18" s="49">
        <f t="shared" ref="Q18" si="6">+C24</f>
        <v>0</v>
      </c>
      <c r="R18" s="14" t="str">
        <f t="shared" ref="R18" si="7">+B24</f>
        <v>MBTanaerobic/treatm</v>
      </c>
    </row>
    <row r="19" spans="1:18">
      <c r="B19" s="50" t="s">
        <v>170</v>
      </c>
      <c r="C19" s="42">
        <f>+Calculation!N30</f>
        <v>0</v>
      </c>
      <c r="D19" s="596"/>
      <c r="E19" s="596"/>
      <c r="O19" s="599"/>
      <c r="P19" s="74" t="e">
        <f>+Q19/$Q$9</f>
        <v>#DIV/0!</v>
      </c>
      <c r="Q19" s="49">
        <f>+C25</f>
        <v>0</v>
      </c>
      <c r="R19" s="14" t="str">
        <f>+B25</f>
        <v>MBS/treatm</v>
      </c>
    </row>
    <row r="20" spans="1:18">
      <c r="B20" s="50" t="s">
        <v>176</v>
      </c>
      <c r="C20" s="42">
        <f>+Calculation!N31</f>
        <v>0</v>
      </c>
      <c r="D20" s="596"/>
      <c r="E20" s="596"/>
      <c r="P20" s="74" t="e">
        <f>+Q20/$Q$9</f>
        <v>#DIV/0!</v>
      </c>
      <c r="Q20" s="49">
        <f>+C26</f>
        <v>0</v>
      </c>
      <c r="R20" s="14" t="str">
        <f>+B26</f>
        <v>Incineration</v>
      </c>
    </row>
    <row r="21" spans="1:18">
      <c r="B21" s="51" t="s">
        <v>177</v>
      </c>
      <c r="C21" s="42">
        <f>+Calculation!N32</f>
        <v>0</v>
      </c>
      <c r="D21" s="596"/>
      <c r="E21" s="596"/>
    </row>
    <row r="22" spans="1:18">
      <c r="B22" s="1" t="s">
        <v>86</v>
      </c>
      <c r="C22" s="52">
        <f>+Calculation!N33</f>
        <v>0</v>
      </c>
      <c r="D22" s="596"/>
      <c r="E22" s="596"/>
    </row>
    <row r="23" spans="1:18">
      <c r="B23" s="188" t="s">
        <v>649</v>
      </c>
      <c r="C23" s="42">
        <f>+Calculation!N34</f>
        <v>0</v>
      </c>
      <c r="D23" s="596"/>
      <c r="E23" s="596"/>
    </row>
    <row r="24" spans="1:18">
      <c r="B24" s="188" t="s">
        <v>650</v>
      </c>
      <c r="C24" s="42">
        <f>+Calculation!N35</f>
        <v>0</v>
      </c>
      <c r="D24" s="596"/>
      <c r="E24" s="596"/>
    </row>
    <row r="25" spans="1:18">
      <c r="B25" s="189" t="s">
        <v>844</v>
      </c>
      <c r="C25" s="42">
        <f>+Calculation!N36</f>
        <v>0</v>
      </c>
      <c r="D25" s="596"/>
      <c r="E25" s="596"/>
    </row>
    <row r="26" spans="1:18">
      <c r="B26" s="1" t="s">
        <v>27</v>
      </c>
      <c r="C26" s="42">
        <f>+Calculation!N37</f>
        <v>0</v>
      </c>
      <c r="E26" s="596"/>
    </row>
    <row r="27" spans="1:18">
      <c r="E27" s="596"/>
    </row>
    <row r="28" spans="1:18">
      <c r="C28" s="62"/>
      <c r="D28" s="62"/>
      <c r="E28" s="62"/>
    </row>
    <row r="29" spans="1:18" s="595" customFormat="1" ht="18">
      <c r="A29" s="40" t="s">
        <v>925</v>
      </c>
      <c r="B29" s="600"/>
    </row>
    <row r="30" spans="1:18" ht="13.5" thickBot="1">
      <c r="G30" s="299"/>
    </row>
    <row r="31" spans="1:18" ht="27" thickBot="1">
      <c r="B31" s="54"/>
      <c r="C31" s="53" t="s">
        <v>166</v>
      </c>
      <c r="D31" s="229" t="s">
        <v>509</v>
      </c>
      <c r="E31" s="54" t="s">
        <v>169</v>
      </c>
      <c r="H31" s="75"/>
    </row>
    <row r="32" spans="1:18" ht="13.5" thickBot="1">
      <c r="B32" s="55" t="s">
        <v>4</v>
      </c>
      <c r="C32" s="53"/>
      <c r="D32" s="54"/>
      <c r="E32" s="54"/>
    </row>
    <row r="33" spans="2:5" ht="13.5" thickBot="1">
      <c r="B33" s="54"/>
      <c r="C33" s="54"/>
      <c r="D33" s="54"/>
      <c r="E33" s="54"/>
    </row>
    <row r="34" spans="2:5" ht="13.5" thickBot="1">
      <c r="B34" s="2" t="str">
        <f t="shared" ref="B34:C40" si="8">+B63</f>
        <v>Food waste</v>
      </c>
      <c r="C34" s="53">
        <f t="shared" si="8"/>
        <v>0</v>
      </c>
      <c r="D34" s="53">
        <f t="shared" ref="D34:D40" si="9">+C72</f>
        <v>0</v>
      </c>
      <c r="E34" s="53">
        <f t="shared" ref="E34:E40" si="10">+D34+C34</f>
        <v>0</v>
      </c>
    </row>
    <row r="35" spans="2:5" ht="13.5" thickBot="1">
      <c r="B35" s="2" t="str">
        <f t="shared" si="8"/>
        <v>Garden and Park waste</v>
      </c>
      <c r="C35" s="53">
        <f t="shared" si="8"/>
        <v>0</v>
      </c>
      <c r="D35" s="53">
        <f t="shared" si="9"/>
        <v>0</v>
      </c>
      <c r="E35" s="53">
        <f t="shared" si="10"/>
        <v>0</v>
      </c>
    </row>
    <row r="36" spans="2:5" ht="13.5" thickBot="1">
      <c r="B36" s="2" t="str">
        <f t="shared" si="8"/>
        <v>Paper, cardboard</v>
      </c>
      <c r="C36" s="53">
        <f t="shared" si="8"/>
        <v>0</v>
      </c>
      <c r="D36" s="53">
        <f t="shared" si="9"/>
        <v>0</v>
      </c>
      <c r="E36" s="53">
        <f t="shared" si="10"/>
        <v>0</v>
      </c>
    </row>
    <row r="37" spans="2:5" ht="13.5" thickBot="1">
      <c r="B37" s="2" t="str">
        <f t="shared" si="8"/>
        <v>Plastics</v>
      </c>
      <c r="C37" s="53">
        <f t="shared" si="8"/>
        <v>0</v>
      </c>
      <c r="D37" s="53">
        <f t="shared" si="9"/>
        <v>0</v>
      </c>
      <c r="E37" s="53">
        <f t="shared" si="10"/>
        <v>0</v>
      </c>
    </row>
    <row r="38" spans="2:5" ht="13.5" thickBot="1">
      <c r="B38" s="2" t="str">
        <f t="shared" si="8"/>
        <v>Glass</v>
      </c>
      <c r="C38" s="53">
        <f t="shared" si="8"/>
        <v>0</v>
      </c>
      <c r="D38" s="53">
        <f t="shared" si="9"/>
        <v>0</v>
      </c>
      <c r="E38" s="53">
        <f t="shared" si="10"/>
        <v>0</v>
      </c>
    </row>
    <row r="39" spans="2:5" ht="13.5" thickBot="1">
      <c r="B39" s="2" t="str">
        <f t="shared" si="8"/>
        <v>Ferrous Metals</v>
      </c>
      <c r="C39" s="53">
        <f t="shared" si="8"/>
        <v>0</v>
      </c>
      <c r="D39" s="53">
        <f t="shared" si="9"/>
        <v>0</v>
      </c>
      <c r="E39" s="53">
        <f t="shared" si="10"/>
        <v>0</v>
      </c>
    </row>
    <row r="40" spans="2:5" ht="13.5" thickBot="1">
      <c r="B40" s="2" t="str">
        <f t="shared" si="8"/>
        <v>Aluminium</v>
      </c>
      <c r="C40" s="53">
        <f t="shared" si="8"/>
        <v>0</v>
      </c>
      <c r="D40" s="53">
        <f t="shared" si="9"/>
        <v>0</v>
      </c>
      <c r="E40" s="53">
        <f t="shared" si="10"/>
        <v>0</v>
      </c>
    </row>
    <row r="41" spans="2:5" ht="13.5" thickBot="1">
      <c r="B41" s="2"/>
      <c r="C41" s="53"/>
      <c r="D41" s="53"/>
      <c r="E41" s="53"/>
    </row>
    <row r="42" spans="2:5" ht="13.5" thickBot="1">
      <c r="B42" s="3" t="s">
        <v>46</v>
      </c>
      <c r="C42" s="53"/>
      <c r="D42" s="53"/>
      <c r="E42" s="53"/>
    </row>
    <row r="43" spans="2:5" ht="13.5" thickBot="1">
      <c r="B43" s="54"/>
      <c r="C43" s="53"/>
      <c r="D43" s="53"/>
      <c r="E43" s="53"/>
    </row>
    <row r="44" spans="2:5" ht="13.5" thickBot="1">
      <c r="B44" s="56" t="str">
        <f>+Calculation!AD41</f>
        <v>Scattered waste not burned</v>
      </c>
      <c r="C44" s="53">
        <f t="shared" ref="C44:C49" si="11">+L63</f>
        <v>0</v>
      </c>
      <c r="D44" s="53">
        <f t="shared" ref="D44:D49" si="12">+L74</f>
        <v>0</v>
      </c>
      <c r="E44" s="53">
        <f t="shared" ref="E44:E49" si="13">+D44+C44</f>
        <v>0</v>
      </c>
    </row>
    <row r="45" spans="2:5" ht="13.5" thickBot="1">
      <c r="B45" s="56" t="str">
        <f>+Calculation!AD42</f>
        <v>Open burning of waste (incl. landfill fires)</v>
      </c>
      <c r="C45" s="53" t="e">
        <f t="shared" si="11"/>
        <v>#DIV/0!</v>
      </c>
      <c r="D45" s="53">
        <f t="shared" si="12"/>
        <v>0</v>
      </c>
      <c r="E45" s="53" t="e">
        <f t="shared" si="13"/>
        <v>#DIV/0!</v>
      </c>
    </row>
    <row r="46" spans="2:5" ht="13.5" thickBot="1">
      <c r="B46" s="56" t="str">
        <f>+Calculation!AD43</f>
        <v>Wild dumps/unmanaged disposal site</v>
      </c>
      <c r="C46" s="53" t="e">
        <f t="shared" si="11"/>
        <v>#DIV/0!</v>
      </c>
      <c r="D46" s="53">
        <f t="shared" si="12"/>
        <v>0</v>
      </c>
      <c r="E46" s="53" t="e">
        <f t="shared" si="13"/>
        <v>#DIV/0!</v>
      </c>
    </row>
    <row r="47" spans="2:5" ht="13.5" thickBot="1">
      <c r="B47" s="56" t="str">
        <f>+Calculation!AD44</f>
        <v>Controlled dump/landfill without gas collection</v>
      </c>
      <c r="C47" s="53" t="e">
        <f t="shared" si="11"/>
        <v>#DIV/0!</v>
      </c>
      <c r="D47" s="53">
        <f t="shared" si="12"/>
        <v>0</v>
      </c>
      <c r="E47" s="53" t="e">
        <f t="shared" si="13"/>
        <v>#DIV/0!</v>
      </c>
    </row>
    <row r="48" spans="2:5" ht="13.5" thickBot="1">
      <c r="B48" s="56" t="str">
        <f>+Calculation!AD45</f>
        <v>Sanitary landfill with gas collection</v>
      </c>
      <c r="C48" s="53" t="e">
        <f t="shared" si="11"/>
        <v>#DIV/0!</v>
      </c>
      <c r="D48" s="53" t="e">
        <f t="shared" si="12"/>
        <v>#DIV/0!</v>
      </c>
      <c r="E48" s="53" t="e">
        <f t="shared" si="13"/>
        <v>#DIV/0!</v>
      </c>
    </row>
    <row r="49" spans="1:13" ht="13.5" thickBot="1">
      <c r="B49" s="56" t="str">
        <f>+Calculation!AD46</f>
        <v>BS + landfill</v>
      </c>
      <c r="C49" s="53" t="e">
        <f t="shared" si="11"/>
        <v>#DIV/0!</v>
      </c>
      <c r="D49" s="53">
        <f t="shared" si="12"/>
        <v>0</v>
      </c>
      <c r="E49" s="53" t="e">
        <f t="shared" si="13"/>
        <v>#DIV/0!</v>
      </c>
    </row>
    <row r="50" spans="1:13" ht="13.5" thickBot="1">
      <c r="B50" s="56" t="str">
        <f>+Calculation!AD47</f>
        <v>MBT aerobic + further treatment</v>
      </c>
      <c r="C50" s="53">
        <f t="shared" ref="C50" si="14">+L69</f>
        <v>0</v>
      </c>
      <c r="D50" s="53">
        <f t="shared" ref="D50" si="15">+L80</f>
        <v>0</v>
      </c>
      <c r="E50" s="53">
        <f t="shared" ref="E50" si="16">+D50+C50</f>
        <v>0</v>
      </c>
    </row>
    <row r="51" spans="1:13" ht="13.5" thickBot="1">
      <c r="B51" s="56" t="str">
        <f>+Calculation!AD48</f>
        <v>MBT anaerobic + further treatment</v>
      </c>
      <c r="C51" s="53">
        <f t="shared" ref="C51:C53" si="17">+L70</f>
        <v>0</v>
      </c>
      <c r="D51" s="53">
        <f t="shared" ref="D51:D53" si="18">+L81</f>
        <v>0</v>
      </c>
      <c r="E51" s="53">
        <f t="shared" ref="E51:E53" si="19">+D51+C51</f>
        <v>0</v>
      </c>
    </row>
    <row r="52" spans="1:13" ht="13.5" thickBot="1">
      <c r="B52" s="56" t="str">
        <f>+Calculation!AD49</f>
        <v>MBS + further treatment</v>
      </c>
      <c r="C52" s="53">
        <f t="shared" si="17"/>
        <v>0</v>
      </c>
      <c r="D52" s="53">
        <f t="shared" si="18"/>
        <v>0</v>
      </c>
      <c r="E52" s="53">
        <f t="shared" si="19"/>
        <v>0</v>
      </c>
      <c r="G52" s="57"/>
      <c r="H52" s="58"/>
      <c r="I52" s="58"/>
      <c r="J52" s="58"/>
    </row>
    <row r="53" spans="1:13" ht="13.5" thickBot="1">
      <c r="B53" s="56" t="str">
        <f>+Calculation!AD50</f>
        <v>Incineration</v>
      </c>
      <c r="C53" s="53" t="e">
        <f t="shared" si="17"/>
        <v>#DIV/0!</v>
      </c>
      <c r="D53" s="53" t="e">
        <f t="shared" si="18"/>
        <v>#DIV/0!</v>
      </c>
      <c r="E53" s="53" t="e">
        <f t="shared" si="19"/>
        <v>#DIV/0!</v>
      </c>
      <c r="H53" s="57" t="s">
        <v>38</v>
      </c>
      <c r="I53" s="57" t="s">
        <v>6</v>
      </c>
      <c r="J53" s="57" t="s">
        <v>120</v>
      </c>
    </row>
    <row r="54" spans="1:13" ht="13.5" thickBot="1">
      <c r="B54" s="54"/>
      <c r="C54" s="53"/>
      <c r="D54" s="53"/>
      <c r="E54" s="53"/>
      <c r="G54" s="58" t="s">
        <v>42</v>
      </c>
      <c r="H54" s="59">
        <f>SUM(C34:C40)</f>
        <v>0</v>
      </c>
      <c r="I54" s="59" t="e">
        <f>SUM(C44:C53)</f>
        <v>#DIV/0!</v>
      </c>
      <c r="J54" s="59" t="e">
        <f>+I54+H54</f>
        <v>#DIV/0!</v>
      </c>
    </row>
    <row r="55" spans="1:13" ht="13.5" thickBot="1">
      <c r="B55" s="3" t="s">
        <v>23</v>
      </c>
      <c r="C55" s="60" t="e">
        <f>SUM(C34:C53)</f>
        <v>#DIV/0!</v>
      </c>
      <c r="D55" s="60" t="e">
        <f>SUM(D34:D53)</f>
        <v>#DIV/0!</v>
      </c>
      <c r="E55" s="60" t="e">
        <f>+D55+C55</f>
        <v>#DIV/0!</v>
      </c>
      <c r="G55" s="58" t="s">
        <v>43</v>
      </c>
      <c r="H55" s="59">
        <f>SUM(D34:D40)</f>
        <v>0</v>
      </c>
      <c r="I55" s="59" t="e">
        <f>SUM(D44:D53)</f>
        <v>#DIV/0!</v>
      </c>
      <c r="J55" s="59" t="e">
        <f>+I55+H55</f>
        <v>#DIV/0!</v>
      </c>
    </row>
    <row r="56" spans="1:13">
      <c r="G56" s="58" t="s">
        <v>44</v>
      </c>
      <c r="H56" s="59">
        <f>+H54+H55</f>
        <v>0</v>
      </c>
      <c r="I56" s="59" t="e">
        <f>+I54+I55</f>
        <v>#DIV/0!</v>
      </c>
      <c r="J56" s="59" t="e">
        <f>+I56+H56</f>
        <v>#DIV/0!</v>
      </c>
    </row>
    <row r="57" spans="1:13">
      <c r="G57" s="57"/>
      <c r="H57" s="59"/>
      <c r="I57" s="59"/>
      <c r="J57" s="59"/>
    </row>
    <row r="58" spans="1:13">
      <c r="G58" s="57"/>
      <c r="H58" s="58"/>
      <c r="I58" s="58"/>
      <c r="J58" s="59"/>
      <c r="K58" s="62"/>
    </row>
    <row r="59" spans="1:13">
      <c r="G59" s="57"/>
      <c r="H59" s="58"/>
      <c r="I59" s="58"/>
      <c r="J59" s="59"/>
      <c r="K59" s="62"/>
    </row>
    <row r="60" spans="1:13" s="601" customFormat="1" ht="15.75">
      <c r="A60" s="61" t="s">
        <v>926</v>
      </c>
      <c r="J60" s="602"/>
      <c r="K60" s="61" t="s">
        <v>927</v>
      </c>
    </row>
    <row r="61" spans="1:13" ht="18">
      <c r="A61" s="13"/>
    </row>
    <row r="62" spans="1:13">
      <c r="B62" s="603"/>
      <c r="C62" s="14" t="s">
        <v>38</v>
      </c>
      <c r="D62" s="14" t="s">
        <v>39</v>
      </c>
      <c r="K62" s="38"/>
      <c r="L62" s="38" t="s">
        <v>6</v>
      </c>
      <c r="M62" s="14" t="s">
        <v>39</v>
      </c>
    </row>
    <row r="63" spans="1:13">
      <c r="B63" s="38" t="str">
        <f>+Calculation!AD12</f>
        <v>Food waste</v>
      </c>
      <c r="C63" s="62">
        <f>+Calculation!AF12</f>
        <v>0</v>
      </c>
      <c r="K63" s="63" t="str">
        <f t="shared" ref="K63:K71" si="20">+B17</f>
        <v>Scattered</v>
      </c>
      <c r="L63" s="62">
        <f>+Calculation!AF41</f>
        <v>0</v>
      </c>
    </row>
    <row r="64" spans="1:13">
      <c r="B64" s="38" t="str">
        <f>+Calculation!AD13</f>
        <v>Garden and Park waste</v>
      </c>
      <c r="C64" s="62">
        <f>+Calculation!AF13</f>
        <v>0</v>
      </c>
      <c r="K64" s="63" t="str">
        <f t="shared" si="20"/>
        <v>Burned-open</v>
      </c>
      <c r="L64" s="62" t="e">
        <f>+Calculation!AF42</f>
        <v>#DIV/0!</v>
      </c>
    </row>
    <row r="65" spans="1:12">
      <c r="B65" s="38" t="str">
        <f>+Calculation!AD14</f>
        <v>Paper, cardboard</v>
      </c>
      <c r="C65" s="62">
        <f>+Calculation!AF14</f>
        <v>0</v>
      </c>
      <c r="K65" s="63" t="str">
        <f t="shared" si="20"/>
        <v>Wild dump</v>
      </c>
      <c r="L65" s="62" t="e">
        <f>+Calculation!AF43</f>
        <v>#DIV/0!</v>
      </c>
    </row>
    <row r="66" spans="1:12">
      <c r="B66" s="38" t="str">
        <f>+Calculation!AD15</f>
        <v>Plastics</v>
      </c>
      <c r="C66" s="62">
        <f>+Calculation!AF15</f>
        <v>0</v>
      </c>
      <c r="K66" s="63" t="str">
        <f t="shared" si="20"/>
        <v>Controlled landfill</v>
      </c>
      <c r="L66" s="62" t="e">
        <f>+Calculation!AF44</f>
        <v>#DIV/0!</v>
      </c>
    </row>
    <row r="67" spans="1:12">
      <c r="B67" s="38" t="str">
        <f>+Calculation!AD16</f>
        <v>Glass</v>
      </c>
      <c r="C67" s="62">
        <f>+Calculation!AF16</f>
        <v>0</v>
      </c>
      <c r="K67" s="63" t="str">
        <f t="shared" si="20"/>
        <v>Sanitary landfill</v>
      </c>
      <c r="L67" s="62" t="e">
        <f>+Calculation!AF45</f>
        <v>#DIV/0!</v>
      </c>
    </row>
    <row r="68" spans="1:12">
      <c r="B68" s="38" t="str">
        <f>+Calculation!AD17</f>
        <v>Ferrous Metals</v>
      </c>
      <c r="C68" s="62">
        <f>+Calculation!AF17</f>
        <v>0</v>
      </c>
      <c r="K68" s="63" t="str">
        <f t="shared" si="20"/>
        <v>BS/landfill</v>
      </c>
      <c r="L68" s="62" t="e">
        <f>+Calculation!AF46</f>
        <v>#DIV/0!</v>
      </c>
    </row>
    <row r="69" spans="1:12">
      <c r="B69" s="38" t="str">
        <f>+Calculation!AD18</f>
        <v>Aluminium</v>
      </c>
      <c r="C69" s="62">
        <f>+Calculation!AF18</f>
        <v>0</v>
      </c>
      <c r="K69" s="63" t="str">
        <f t="shared" si="20"/>
        <v>MBTaerobic/treatm</v>
      </c>
      <c r="L69" s="62">
        <f>+Calculation!AF47</f>
        <v>0</v>
      </c>
    </row>
    <row r="70" spans="1:12">
      <c r="A70" s="62"/>
      <c r="B70" s="38"/>
      <c r="C70" s="62"/>
      <c r="K70" s="63" t="str">
        <f t="shared" si="20"/>
        <v>MBTanaerobic/treatm</v>
      </c>
      <c r="L70" s="62">
        <f>+Calculation!AF48</f>
        <v>0</v>
      </c>
    </row>
    <row r="71" spans="1:12">
      <c r="B71" s="64" t="s">
        <v>40</v>
      </c>
      <c r="D71" s="62"/>
      <c r="K71" s="63" t="str">
        <f t="shared" si="20"/>
        <v>MBS/treatm</v>
      </c>
      <c r="L71" s="62">
        <f>+Calculation!AF49</f>
        <v>0</v>
      </c>
    </row>
    <row r="72" spans="1:12">
      <c r="B72" s="63" t="str">
        <f>+Calculation!AD20</f>
        <v>Food waste</v>
      </c>
      <c r="C72" s="62">
        <f>+Calculation!AF20</f>
        <v>0</v>
      </c>
      <c r="K72" s="65" t="s">
        <v>27</v>
      </c>
      <c r="L72" s="62" t="e">
        <f>+Calculation!AF50</f>
        <v>#DIV/0!</v>
      </c>
    </row>
    <row r="73" spans="1:12">
      <c r="B73" s="63" t="str">
        <f>+Calculation!AD21</f>
        <v>Garden and Park waste</v>
      </c>
      <c r="C73" s="62">
        <f>+Calculation!AF21</f>
        <v>0</v>
      </c>
      <c r="K73" s="66" t="s">
        <v>40</v>
      </c>
    </row>
    <row r="74" spans="1:12">
      <c r="B74" s="63" t="str">
        <f>+Calculation!AD22</f>
        <v>Paper, cardboard</v>
      </c>
      <c r="C74" s="62">
        <f>+Calculation!AF22</f>
        <v>0</v>
      </c>
      <c r="K74" s="67" t="str">
        <f>+K63</f>
        <v>Scattered</v>
      </c>
      <c r="L74" s="63">
        <f>+Calculation!AF52</f>
        <v>0</v>
      </c>
    </row>
    <row r="75" spans="1:12">
      <c r="B75" s="63" t="str">
        <f>+Calculation!AD23</f>
        <v>Plastics</v>
      </c>
      <c r="C75" s="62">
        <f>+Calculation!AF23</f>
        <v>0</v>
      </c>
      <c r="K75" s="67" t="str">
        <f t="shared" ref="K75:K82" si="21">+K64</f>
        <v>Burned-open</v>
      </c>
      <c r="L75" s="63">
        <f>+Calculation!AF53</f>
        <v>0</v>
      </c>
    </row>
    <row r="76" spans="1:12">
      <c r="B76" s="63" t="str">
        <f>+Calculation!AD24</f>
        <v>Glass</v>
      </c>
      <c r="C76" s="62">
        <f>+Calculation!AF24</f>
        <v>0</v>
      </c>
      <c r="K76" s="67" t="str">
        <f t="shared" si="21"/>
        <v>Wild dump</v>
      </c>
      <c r="L76" s="63">
        <f>+Calculation!AF54</f>
        <v>0</v>
      </c>
    </row>
    <row r="77" spans="1:12">
      <c r="B77" s="63" t="str">
        <f>+Calculation!AD25</f>
        <v>Ferrous Metals</v>
      </c>
      <c r="C77" s="62">
        <f>+Calculation!AF25</f>
        <v>0</v>
      </c>
      <c r="K77" s="67" t="str">
        <f t="shared" si="21"/>
        <v>Controlled landfill</v>
      </c>
      <c r="L77" s="63">
        <f>+Calculation!AF55</f>
        <v>0</v>
      </c>
    </row>
    <row r="78" spans="1:12">
      <c r="B78" s="63" t="str">
        <f>+Calculation!AD26</f>
        <v>Aluminium</v>
      </c>
      <c r="C78" s="62">
        <f>+Calculation!AF26</f>
        <v>0</v>
      </c>
      <c r="K78" s="67" t="str">
        <f t="shared" si="21"/>
        <v>Sanitary landfill</v>
      </c>
      <c r="L78" s="63" t="e">
        <f>+Calculation!AF56</f>
        <v>#DIV/0!</v>
      </c>
    </row>
    <row r="79" spans="1:12">
      <c r="B79" s="63"/>
      <c r="C79" s="62"/>
      <c r="K79" s="67" t="str">
        <f t="shared" si="21"/>
        <v>BS/landfill</v>
      </c>
      <c r="L79" s="63">
        <f>+Calculation!AF57</f>
        <v>0</v>
      </c>
    </row>
    <row r="80" spans="1:12">
      <c r="B80" s="64" t="s">
        <v>41</v>
      </c>
      <c r="D80" s="62"/>
      <c r="K80" s="67" t="str">
        <f t="shared" si="21"/>
        <v>MBTaerobic/treatm</v>
      </c>
      <c r="L80" s="63">
        <f>+Calculation!AF58</f>
        <v>0</v>
      </c>
    </row>
    <row r="81" spans="1:13">
      <c r="B81" s="64" t="s">
        <v>39</v>
      </c>
      <c r="D81" s="68">
        <f>SUM(C63:C70,C72:C79)</f>
        <v>0</v>
      </c>
      <c r="K81" s="67" t="str">
        <f t="shared" si="21"/>
        <v>MBTanaerobic/treatm</v>
      </c>
      <c r="L81" s="63">
        <f>+Calculation!AF59</f>
        <v>0</v>
      </c>
    </row>
    <row r="82" spans="1:13">
      <c r="K82" s="67" t="str">
        <f t="shared" si="21"/>
        <v>MBS/treatm</v>
      </c>
      <c r="L82" s="63">
        <f>+Calculation!AF60</f>
        <v>0</v>
      </c>
    </row>
    <row r="83" spans="1:13">
      <c r="E83" s="299"/>
      <c r="K83" s="67" t="str">
        <f>+K72</f>
        <v>Incineration</v>
      </c>
      <c r="L83" s="63" t="e">
        <f>+Calculation!AF61</f>
        <v>#DIV/0!</v>
      </c>
    </row>
    <row r="84" spans="1:13">
      <c r="E84" s="299"/>
      <c r="K84" s="66" t="s">
        <v>41</v>
      </c>
    </row>
    <row r="85" spans="1:13">
      <c r="E85" s="299"/>
      <c r="K85" s="64" t="s">
        <v>39</v>
      </c>
      <c r="M85" s="68" t="e">
        <f>SUM(L63:L72,L74:L83)</f>
        <v>#DIV/0!</v>
      </c>
    </row>
    <row r="87" spans="1:13" s="595" customFormat="1" ht="18">
      <c r="A87" s="40" t="s">
        <v>12</v>
      </c>
    </row>
    <row r="89" spans="1:13" ht="13.5" thickBot="1"/>
    <row r="90" spans="1:13" ht="13.5" thickBot="1">
      <c r="B90" s="69"/>
      <c r="C90" s="604"/>
      <c r="D90" s="54" t="str">
        <f>+Calculation!AK3</f>
        <v>Euro/yr</v>
      </c>
    </row>
    <row r="91" spans="1:13" ht="13.5" thickBot="1">
      <c r="B91" s="69" t="str">
        <f>+Calculation!AJ4</f>
        <v>Recycled dry waste</v>
      </c>
      <c r="C91" s="604"/>
      <c r="D91" s="53">
        <f>+Calculation!AL4</f>
        <v>0</v>
      </c>
    </row>
    <row r="92" spans="1:13" ht="13.5" thickBot="1">
      <c r="B92" s="69" t="str">
        <f>+Calculation!AJ5</f>
        <v>Composted organic waste</v>
      </c>
      <c r="C92" s="604"/>
      <c r="D92" s="53">
        <f>+Calculation!AL5</f>
        <v>0</v>
      </c>
    </row>
    <row r="93" spans="1:13" ht="13.5" thickBot="1">
      <c r="B93" s="69" t="str">
        <f>+Calculation!AJ6</f>
        <v>Digested organic waste</v>
      </c>
      <c r="C93" s="604"/>
      <c r="D93" s="53">
        <f>+Calculation!AL6</f>
        <v>0</v>
      </c>
    </row>
    <row r="94" spans="1:13" ht="13.5" thickBot="1">
      <c r="B94" s="69" t="str">
        <f>+Calculation!AJ7</f>
        <v>Residual waste to controlled dump/landfill without gas collection</v>
      </c>
      <c r="C94" s="604"/>
      <c r="D94" s="53">
        <f>+Calculation!AL7</f>
        <v>0</v>
      </c>
    </row>
    <row r="95" spans="1:13" ht="13.5" thickBot="1">
      <c r="B95" s="69" t="str">
        <f>+Calculation!AJ8</f>
        <v>Residual waste to sanitary landfill with gas collection</v>
      </c>
      <c r="C95" s="604"/>
      <c r="D95" s="53">
        <f>+Calculation!AL8</f>
        <v>0</v>
      </c>
    </row>
    <row r="96" spans="1:13" ht="13.5" thickBot="1">
      <c r="B96" s="69" t="str">
        <f>+Calculation!AJ9</f>
        <v>Residual waste to BS/landfill</v>
      </c>
      <c r="C96" s="604"/>
      <c r="D96" s="53">
        <f>+Calculation!AL9</f>
        <v>0</v>
      </c>
    </row>
    <row r="97" spans="1:4" ht="13.5" thickBot="1">
      <c r="B97" s="69" t="str">
        <f>+Calculation!AJ10</f>
        <v>Residual waste to MBT aerobic + further treatment</v>
      </c>
      <c r="C97" s="604"/>
      <c r="D97" s="53">
        <f>+Calculation!AL10</f>
        <v>0</v>
      </c>
    </row>
    <row r="98" spans="1:4" ht="13.5" thickBot="1">
      <c r="B98" s="69" t="str">
        <f>+Calculation!AJ11</f>
        <v>Residual waste to MBT anaerobic + further treatment</v>
      </c>
      <c r="C98" s="604"/>
      <c r="D98" s="53">
        <f>+Calculation!AL11</f>
        <v>0</v>
      </c>
    </row>
    <row r="99" spans="1:4" ht="13.5" thickBot="1">
      <c r="B99" s="69" t="str">
        <f>+Calculation!AJ12</f>
        <v>Residual waste to MBS + further treatment</v>
      </c>
      <c r="C99" s="604"/>
      <c r="D99" s="53">
        <f>+Calculation!AL12</f>
        <v>0</v>
      </c>
    </row>
    <row r="100" spans="1:4" ht="13.5" thickBot="1">
      <c r="B100" s="69" t="str">
        <f>+Calculation!AJ13</f>
        <v>Residual waste to MSWI</v>
      </c>
      <c r="C100" s="604"/>
      <c r="D100" s="53">
        <f>+Calculation!AL13</f>
        <v>0</v>
      </c>
    </row>
    <row r="101" spans="1:4" ht="13.5" thickBot="1">
      <c r="B101" s="70" t="str">
        <f>+Calculation!AJ14</f>
        <v>Total</v>
      </c>
      <c r="C101" s="604"/>
      <c r="D101" s="60">
        <f>SUM(D91:D100)</f>
        <v>0</v>
      </c>
    </row>
    <row r="104" spans="1:4" ht="18">
      <c r="A104" s="71" t="s">
        <v>928</v>
      </c>
    </row>
    <row r="105" spans="1:4" ht="16.5" thickBot="1">
      <c r="D105" s="75"/>
    </row>
    <row r="106" spans="1:4" ht="13.5" thickBot="1">
      <c r="B106" s="69" t="s">
        <v>133</v>
      </c>
      <c r="C106" s="604"/>
      <c r="D106" s="53" t="e">
        <f>+E55</f>
        <v>#DIV/0!</v>
      </c>
    </row>
    <row r="107" spans="1:4" ht="13.5" thickBot="1">
      <c r="B107" s="69" t="s">
        <v>180</v>
      </c>
      <c r="C107" s="604"/>
      <c r="D107" s="53">
        <f>+D101</f>
        <v>0</v>
      </c>
    </row>
    <row r="108" spans="1:4" ht="13.5" thickBot="1">
      <c r="B108" s="69" t="s">
        <v>181</v>
      </c>
      <c r="C108" s="604"/>
      <c r="D108" s="72" t="e">
        <f>+D107/D106</f>
        <v>#DIV/0!</v>
      </c>
    </row>
  </sheetData>
  <sheetProtection password="AAA9" sheet="1"/>
  <mergeCells count="2">
    <mergeCell ref="O5:P5"/>
    <mergeCell ref="O6:P6"/>
  </mergeCells>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R108"/>
  <sheetViews>
    <sheetView zoomScaleNormal="100" workbookViewId="0"/>
  </sheetViews>
  <sheetFormatPr baseColWidth="10" defaultColWidth="11.5703125" defaultRowHeight="12.75"/>
  <cols>
    <col min="1" max="1" width="8.5703125" style="14" customWidth="1"/>
    <col min="2" max="2" width="37.28515625" style="14" customWidth="1"/>
    <col min="3" max="3" width="15.28515625" style="14" customWidth="1"/>
    <col min="4" max="4" width="15.7109375" style="14" bestFit="1" customWidth="1"/>
    <col min="5" max="5" width="13.28515625" style="14" customWidth="1"/>
    <col min="6" max="12" width="11.5703125" style="14"/>
    <col min="13" max="13" width="10.42578125" style="14" customWidth="1"/>
    <col min="14" max="14" width="12.140625" style="14" customWidth="1"/>
    <col min="15" max="16384" width="11.5703125" style="14"/>
  </cols>
  <sheetData>
    <row r="1" spans="1:18" s="595" customFormat="1" ht="18">
      <c r="A1" s="40" t="s">
        <v>131</v>
      </c>
    </row>
    <row r="2" spans="1:18" ht="13.9" customHeight="1">
      <c r="A2" s="13"/>
    </row>
    <row r="3" spans="1:18">
      <c r="B3" s="41" t="s">
        <v>7</v>
      </c>
      <c r="C3" s="42">
        <f>+Calculation!O39</f>
        <v>0</v>
      </c>
      <c r="D3" s="596"/>
      <c r="E3" s="596"/>
    </row>
    <row r="4" spans="1:18" ht="13.5" thickBot="1">
      <c r="B4" s="22"/>
      <c r="C4" s="597"/>
      <c r="D4" s="598"/>
      <c r="E4" s="598"/>
    </row>
    <row r="5" spans="1:18">
      <c r="B5" s="41" t="s">
        <v>4</v>
      </c>
      <c r="C5" s="42">
        <f>+Calculation!O14</f>
        <v>0</v>
      </c>
      <c r="D5" s="596"/>
      <c r="E5" s="596"/>
      <c r="O5" s="784" t="s">
        <v>132</v>
      </c>
      <c r="P5" s="785"/>
    </row>
    <row r="6" spans="1:18" ht="13.5" thickBot="1">
      <c r="B6" s="22" t="s">
        <v>5</v>
      </c>
      <c r="C6" s="42"/>
      <c r="D6" s="596"/>
      <c r="E6" s="596"/>
      <c r="O6" s="786">
        <f>+C3</f>
        <v>0</v>
      </c>
      <c r="P6" s="787"/>
    </row>
    <row r="7" spans="1:18">
      <c r="B7" s="1" t="s">
        <v>90</v>
      </c>
      <c r="C7" s="42">
        <f>+Calculation!O7</f>
        <v>0</v>
      </c>
      <c r="D7" s="596"/>
      <c r="E7" s="596"/>
      <c r="M7" s="299"/>
    </row>
    <row r="8" spans="1:18" ht="13.5" thickBot="1">
      <c r="B8" s="1" t="s">
        <v>173</v>
      </c>
      <c r="C8" s="42">
        <f>+Calculation!O8</f>
        <v>0</v>
      </c>
      <c r="D8" s="596"/>
      <c r="E8" s="596"/>
    </row>
    <row r="9" spans="1:18" ht="13.5" thickBot="1">
      <c r="B9" s="1" t="s">
        <v>20</v>
      </c>
      <c r="C9" s="42">
        <f>+Calculation!O9</f>
        <v>0</v>
      </c>
      <c r="D9" s="596"/>
      <c r="E9" s="596"/>
      <c r="M9" s="38" t="s">
        <v>121</v>
      </c>
      <c r="N9" s="79">
        <f>+C5</f>
        <v>0</v>
      </c>
      <c r="O9" s="43" t="e">
        <f>+N9/O6</f>
        <v>#DIV/0!</v>
      </c>
      <c r="P9" s="44" t="e">
        <f>+Q9/O6</f>
        <v>#DIV/0!</v>
      </c>
      <c r="Q9" s="45">
        <f>+C15</f>
        <v>0</v>
      </c>
      <c r="R9" s="23" t="s">
        <v>122</v>
      </c>
    </row>
    <row r="10" spans="1:18">
      <c r="B10" s="1" t="s">
        <v>21</v>
      </c>
      <c r="C10" s="42">
        <f>+Calculation!O10</f>
        <v>0</v>
      </c>
      <c r="D10" s="596"/>
      <c r="E10" s="596"/>
      <c r="N10" s="62"/>
      <c r="Q10" s="62"/>
    </row>
    <row r="11" spans="1:18">
      <c r="B11" s="1" t="s">
        <v>22</v>
      </c>
      <c r="C11" s="42">
        <f>+Calculation!O11</f>
        <v>0</v>
      </c>
      <c r="D11" s="596"/>
      <c r="E11" s="596"/>
      <c r="M11" s="46" t="str">
        <f t="shared" ref="M11:N17" si="0">+B7</f>
        <v>Food waste</v>
      </c>
      <c r="N11" s="80">
        <f t="shared" si="0"/>
        <v>0</v>
      </c>
      <c r="O11" s="73" t="e">
        <f t="shared" ref="O11:O17" si="1">+N11/$N$9</f>
        <v>#DIV/0!</v>
      </c>
      <c r="P11" s="74" t="e">
        <f t="shared" ref="P11:P17" si="2">+Q11/$Q$9</f>
        <v>#DIV/0!</v>
      </c>
      <c r="Q11" s="49">
        <f t="shared" ref="Q11:Q17" si="3">+C17</f>
        <v>0</v>
      </c>
      <c r="R11" s="14" t="str">
        <f t="shared" ref="R11:R17" si="4">+B17</f>
        <v>Scattered</v>
      </c>
    </row>
    <row r="12" spans="1:18">
      <c r="B12" s="1" t="s">
        <v>143</v>
      </c>
      <c r="C12" s="42">
        <f>+Calculation!O12</f>
        <v>0</v>
      </c>
      <c r="D12" s="596"/>
      <c r="E12" s="596"/>
      <c r="M12" s="46" t="str">
        <f t="shared" si="0"/>
        <v>Garden &amp; park waste</v>
      </c>
      <c r="N12" s="80">
        <f t="shared" si="0"/>
        <v>0</v>
      </c>
      <c r="O12" s="73" t="e">
        <f t="shared" si="1"/>
        <v>#DIV/0!</v>
      </c>
      <c r="P12" s="74" t="e">
        <f t="shared" si="2"/>
        <v>#DIV/0!</v>
      </c>
      <c r="Q12" s="49">
        <f t="shared" si="3"/>
        <v>0</v>
      </c>
      <c r="R12" s="14" t="str">
        <f t="shared" si="4"/>
        <v>Burned-open</v>
      </c>
    </row>
    <row r="13" spans="1:18">
      <c r="B13" s="1" t="s">
        <v>94</v>
      </c>
      <c r="C13" s="42">
        <f>+Calculation!O13</f>
        <v>0</v>
      </c>
      <c r="D13" s="596"/>
      <c r="E13" s="596"/>
      <c r="M13" s="46" t="str">
        <f t="shared" si="0"/>
        <v>Paper, cardboard</v>
      </c>
      <c r="N13" s="80">
        <f t="shared" si="0"/>
        <v>0</v>
      </c>
      <c r="O13" s="73" t="e">
        <f t="shared" si="1"/>
        <v>#DIV/0!</v>
      </c>
      <c r="P13" s="74" t="e">
        <f t="shared" si="2"/>
        <v>#DIV/0!</v>
      </c>
      <c r="Q13" s="49">
        <f t="shared" si="3"/>
        <v>0</v>
      </c>
      <c r="R13" s="14" t="str">
        <f t="shared" si="4"/>
        <v>Wild dump</v>
      </c>
    </row>
    <row r="14" spans="1:18">
      <c r="B14" s="1"/>
      <c r="C14" s="42"/>
      <c r="D14" s="596"/>
      <c r="E14" s="596"/>
      <c r="M14" s="46" t="str">
        <f t="shared" si="0"/>
        <v>Plastics</v>
      </c>
      <c r="N14" s="80">
        <f t="shared" si="0"/>
        <v>0</v>
      </c>
      <c r="O14" s="73" t="e">
        <f t="shared" si="1"/>
        <v>#DIV/0!</v>
      </c>
      <c r="P14" s="74" t="e">
        <f t="shared" si="2"/>
        <v>#DIV/0!</v>
      </c>
      <c r="Q14" s="49">
        <f t="shared" si="3"/>
        <v>0</v>
      </c>
      <c r="R14" s="14" t="str">
        <f t="shared" si="4"/>
        <v>Controlled landfill</v>
      </c>
    </row>
    <row r="15" spans="1:18">
      <c r="B15" s="4" t="s">
        <v>6</v>
      </c>
      <c r="C15" s="42">
        <f>+Calculation!O38</f>
        <v>0</v>
      </c>
      <c r="D15" s="596"/>
      <c r="E15" s="596"/>
      <c r="M15" s="46" t="str">
        <f t="shared" si="0"/>
        <v>Glass</v>
      </c>
      <c r="N15" s="80">
        <f t="shared" si="0"/>
        <v>0</v>
      </c>
      <c r="O15" s="73" t="e">
        <f t="shared" si="1"/>
        <v>#DIV/0!</v>
      </c>
      <c r="P15" s="74" t="e">
        <f t="shared" si="2"/>
        <v>#DIV/0!</v>
      </c>
      <c r="Q15" s="49">
        <f t="shared" si="3"/>
        <v>0</v>
      </c>
      <c r="R15" s="14" t="str">
        <f t="shared" si="4"/>
        <v>Sanitary landfill</v>
      </c>
    </row>
    <row r="16" spans="1:18">
      <c r="B16" s="22" t="s">
        <v>5</v>
      </c>
      <c r="C16" s="42"/>
      <c r="D16" s="596"/>
      <c r="E16" s="596"/>
      <c r="M16" s="46" t="str">
        <f t="shared" si="0"/>
        <v>Ferrous metals</v>
      </c>
      <c r="N16" s="80">
        <f t="shared" si="0"/>
        <v>0</v>
      </c>
      <c r="O16" s="73" t="e">
        <f t="shared" si="1"/>
        <v>#DIV/0!</v>
      </c>
      <c r="P16" s="74" t="e">
        <f t="shared" si="2"/>
        <v>#DIV/0!</v>
      </c>
      <c r="Q16" s="49">
        <f t="shared" si="3"/>
        <v>0</v>
      </c>
      <c r="R16" s="14" t="str">
        <f t="shared" si="4"/>
        <v>BS/landfill</v>
      </c>
    </row>
    <row r="17" spans="1:18">
      <c r="B17" s="50" t="s">
        <v>174</v>
      </c>
      <c r="C17" s="42">
        <f>+Calculation!O28</f>
        <v>0</v>
      </c>
      <c r="D17" s="596"/>
      <c r="E17" s="596"/>
      <c r="M17" s="46" t="str">
        <f t="shared" si="0"/>
        <v>Aluminium</v>
      </c>
      <c r="N17" s="80">
        <f t="shared" si="0"/>
        <v>0</v>
      </c>
      <c r="O17" s="73" t="e">
        <f t="shared" si="1"/>
        <v>#DIV/0!</v>
      </c>
      <c r="P17" s="74" t="e">
        <f t="shared" si="2"/>
        <v>#DIV/0!</v>
      </c>
      <c r="Q17" s="49">
        <f t="shared" si="3"/>
        <v>0</v>
      </c>
      <c r="R17" s="14" t="str">
        <f t="shared" si="4"/>
        <v>MBTaerobic/treatm</v>
      </c>
    </row>
    <row r="18" spans="1:18">
      <c r="B18" s="50" t="s">
        <v>175</v>
      </c>
      <c r="C18" s="42">
        <f>+Calculation!O29</f>
        <v>0</v>
      </c>
      <c r="D18" s="596"/>
      <c r="E18" s="596"/>
      <c r="O18" s="599"/>
      <c r="P18" s="74" t="e">
        <f t="shared" ref="P18" si="5">+Q18/$Q$9</f>
        <v>#DIV/0!</v>
      </c>
      <c r="Q18" s="49">
        <f t="shared" ref="Q18" si="6">+C24</f>
        <v>0</v>
      </c>
      <c r="R18" s="14" t="str">
        <f t="shared" ref="R18" si="7">+B24</f>
        <v>MBTanaerobic/treatm</v>
      </c>
    </row>
    <row r="19" spans="1:18">
      <c r="B19" s="50" t="s">
        <v>170</v>
      </c>
      <c r="C19" s="42">
        <f>+Calculation!O30</f>
        <v>0</v>
      </c>
      <c r="D19" s="596"/>
      <c r="E19" s="596"/>
      <c r="O19" s="599"/>
      <c r="P19" s="74" t="e">
        <f>+Q19/$Q$9</f>
        <v>#DIV/0!</v>
      </c>
      <c r="Q19" s="49">
        <f>+C25</f>
        <v>0</v>
      </c>
      <c r="R19" s="14" t="str">
        <f>+B25</f>
        <v>MBS/treatm</v>
      </c>
    </row>
    <row r="20" spans="1:18">
      <c r="B20" s="50" t="s">
        <v>176</v>
      </c>
      <c r="C20" s="42">
        <f>+Calculation!O31</f>
        <v>0</v>
      </c>
      <c r="D20" s="596"/>
      <c r="E20" s="596"/>
      <c r="P20" s="74" t="e">
        <f>+Q20/$Q$9</f>
        <v>#DIV/0!</v>
      </c>
      <c r="Q20" s="49">
        <f>+C26</f>
        <v>0</v>
      </c>
      <c r="R20" s="14" t="str">
        <f>+B26</f>
        <v>Incineration</v>
      </c>
    </row>
    <row r="21" spans="1:18">
      <c r="B21" s="51" t="s">
        <v>177</v>
      </c>
      <c r="C21" s="42">
        <f>+Calculation!O32</f>
        <v>0</v>
      </c>
      <c r="D21" s="596"/>
      <c r="E21" s="596"/>
    </row>
    <row r="22" spans="1:18">
      <c r="B22" s="1" t="s">
        <v>86</v>
      </c>
      <c r="C22" s="52">
        <f>+Calculation!O33</f>
        <v>0</v>
      </c>
      <c r="D22" s="596"/>
      <c r="E22" s="596"/>
    </row>
    <row r="23" spans="1:18">
      <c r="B23" s="188" t="s">
        <v>649</v>
      </c>
      <c r="C23" s="42">
        <f>+Calculation!O34</f>
        <v>0</v>
      </c>
      <c r="D23" s="596"/>
      <c r="E23" s="596"/>
    </row>
    <row r="24" spans="1:18">
      <c r="B24" s="188" t="s">
        <v>650</v>
      </c>
      <c r="C24" s="42">
        <f>+Calculation!O35</f>
        <v>0</v>
      </c>
      <c r="D24" s="596"/>
      <c r="E24" s="596"/>
    </row>
    <row r="25" spans="1:18">
      <c r="B25" s="189" t="s">
        <v>844</v>
      </c>
      <c r="C25" s="42">
        <f>+Calculation!O36</f>
        <v>0</v>
      </c>
      <c r="D25" s="596"/>
      <c r="E25" s="596"/>
    </row>
    <row r="26" spans="1:18">
      <c r="B26" s="1" t="s">
        <v>27</v>
      </c>
      <c r="C26" s="42">
        <f>+Calculation!O37</f>
        <v>0</v>
      </c>
      <c r="D26" s="596"/>
      <c r="E26" s="596"/>
    </row>
    <row r="27" spans="1:18">
      <c r="D27" s="596"/>
      <c r="E27" s="596"/>
    </row>
    <row r="28" spans="1:18">
      <c r="C28" s="62"/>
      <c r="D28" s="62"/>
      <c r="E28" s="62"/>
    </row>
    <row r="29" spans="1:18" s="595" customFormat="1" ht="18">
      <c r="A29" s="40" t="s">
        <v>925</v>
      </c>
      <c r="B29" s="600"/>
    </row>
    <row r="30" spans="1:18" ht="13.5" thickBot="1">
      <c r="G30" s="299"/>
    </row>
    <row r="31" spans="1:18" ht="27" thickBot="1">
      <c r="B31" s="54"/>
      <c r="C31" s="53" t="s">
        <v>166</v>
      </c>
      <c r="D31" s="229" t="s">
        <v>509</v>
      </c>
      <c r="E31" s="54" t="s">
        <v>169</v>
      </c>
      <c r="H31" s="75"/>
    </row>
    <row r="32" spans="1:18" ht="13.5" thickBot="1">
      <c r="B32" s="55" t="s">
        <v>4</v>
      </c>
      <c r="C32" s="53"/>
      <c r="D32" s="54"/>
      <c r="E32" s="54"/>
    </row>
    <row r="33" spans="2:5" ht="13.5" thickBot="1">
      <c r="B33" s="54"/>
      <c r="C33" s="54"/>
      <c r="D33" s="54"/>
      <c r="E33" s="54"/>
    </row>
    <row r="34" spans="2:5" ht="13.5" thickBot="1">
      <c r="B34" s="2" t="str">
        <f t="shared" ref="B34:C40" si="8">+B63</f>
        <v>Food waste</v>
      </c>
      <c r="C34" s="53">
        <f t="shared" si="8"/>
        <v>0</v>
      </c>
      <c r="D34" s="53">
        <f t="shared" ref="D34:D40" si="9">+C72</f>
        <v>0</v>
      </c>
      <c r="E34" s="53">
        <f t="shared" ref="E34:E40" si="10">+D34+C34</f>
        <v>0</v>
      </c>
    </row>
    <row r="35" spans="2:5" ht="13.5" thickBot="1">
      <c r="B35" s="2" t="str">
        <f t="shared" si="8"/>
        <v>Garden and Park waste</v>
      </c>
      <c r="C35" s="53">
        <f t="shared" si="8"/>
        <v>0</v>
      </c>
      <c r="D35" s="53">
        <f t="shared" si="9"/>
        <v>0</v>
      </c>
      <c r="E35" s="53">
        <f t="shared" si="10"/>
        <v>0</v>
      </c>
    </row>
    <row r="36" spans="2:5" ht="13.5" thickBot="1">
      <c r="B36" s="2" t="str">
        <f t="shared" si="8"/>
        <v>Paper, cardboard</v>
      </c>
      <c r="C36" s="53">
        <f t="shared" si="8"/>
        <v>0</v>
      </c>
      <c r="D36" s="53">
        <f t="shared" si="9"/>
        <v>0</v>
      </c>
      <c r="E36" s="53">
        <f t="shared" si="10"/>
        <v>0</v>
      </c>
    </row>
    <row r="37" spans="2:5" ht="13.5" thickBot="1">
      <c r="B37" s="2" t="str">
        <f t="shared" si="8"/>
        <v>Plastics</v>
      </c>
      <c r="C37" s="53">
        <f t="shared" si="8"/>
        <v>0</v>
      </c>
      <c r="D37" s="53">
        <f t="shared" si="9"/>
        <v>0</v>
      </c>
      <c r="E37" s="53">
        <f t="shared" si="10"/>
        <v>0</v>
      </c>
    </row>
    <row r="38" spans="2:5" ht="13.5" thickBot="1">
      <c r="B38" s="2" t="str">
        <f t="shared" si="8"/>
        <v>Glass</v>
      </c>
      <c r="C38" s="53">
        <f t="shared" si="8"/>
        <v>0</v>
      </c>
      <c r="D38" s="53">
        <f t="shared" si="9"/>
        <v>0</v>
      </c>
      <c r="E38" s="53">
        <f t="shared" si="10"/>
        <v>0</v>
      </c>
    </row>
    <row r="39" spans="2:5" ht="13.5" thickBot="1">
      <c r="B39" s="2" t="str">
        <f t="shared" si="8"/>
        <v>Ferrous Metals</v>
      </c>
      <c r="C39" s="53">
        <f t="shared" si="8"/>
        <v>0</v>
      </c>
      <c r="D39" s="53">
        <f t="shared" si="9"/>
        <v>0</v>
      </c>
      <c r="E39" s="53">
        <f t="shared" si="10"/>
        <v>0</v>
      </c>
    </row>
    <row r="40" spans="2:5" ht="13.5" thickBot="1">
      <c r="B40" s="2" t="str">
        <f t="shared" si="8"/>
        <v>Aluminium</v>
      </c>
      <c r="C40" s="53">
        <f t="shared" si="8"/>
        <v>0</v>
      </c>
      <c r="D40" s="53">
        <f t="shared" si="9"/>
        <v>0</v>
      </c>
      <c r="E40" s="53">
        <f t="shared" si="10"/>
        <v>0</v>
      </c>
    </row>
    <row r="41" spans="2:5" ht="13.5" thickBot="1">
      <c r="B41" s="2"/>
      <c r="C41" s="53"/>
      <c r="D41" s="53"/>
      <c r="E41" s="53"/>
    </row>
    <row r="42" spans="2:5" ht="13.5" thickBot="1">
      <c r="B42" s="3" t="s">
        <v>46</v>
      </c>
      <c r="C42" s="53"/>
      <c r="D42" s="53"/>
      <c r="E42" s="53"/>
    </row>
    <row r="43" spans="2:5" ht="13.5" thickBot="1">
      <c r="B43" s="54"/>
      <c r="C43" s="53"/>
      <c r="D43" s="53"/>
      <c r="E43" s="53"/>
    </row>
    <row r="44" spans="2:5" ht="13.5" thickBot="1">
      <c r="B44" s="56" t="str">
        <f>+Calculation!AD41</f>
        <v>Scattered waste not burned</v>
      </c>
      <c r="C44" s="53">
        <f t="shared" ref="C44:C50" si="11">+L63</f>
        <v>0</v>
      </c>
      <c r="D44" s="53">
        <f t="shared" ref="D44:D50" si="12">+L74</f>
        <v>0</v>
      </c>
      <c r="E44" s="53">
        <f t="shared" ref="E44:E53" si="13">+D44+C44</f>
        <v>0</v>
      </c>
    </row>
    <row r="45" spans="2:5" ht="13.5" thickBot="1">
      <c r="B45" s="56" t="str">
        <f>+Calculation!AD42</f>
        <v>Open burning of waste (incl. landfill fires)</v>
      </c>
      <c r="C45" s="53" t="e">
        <f t="shared" si="11"/>
        <v>#DIV/0!</v>
      </c>
      <c r="D45" s="53">
        <f t="shared" si="12"/>
        <v>0</v>
      </c>
      <c r="E45" s="53" t="e">
        <f t="shared" si="13"/>
        <v>#DIV/0!</v>
      </c>
    </row>
    <row r="46" spans="2:5" ht="13.5" thickBot="1">
      <c r="B46" s="56" t="str">
        <f>+Calculation!AD43</f>
        <v>Wild dumps/unmanaged disposal site</v>
      </c>
      <c r="C46" s="53" t="e">
        <f t="shared" si="11"/>
        <v>#DIV/0!</v>
      </c>
      <c r="D46" s="53">
        <f t="shared" si="12"/>
        <v>0</v>
      </c>
      <c r="E46" s="53" t="e">
        <f t="shared" si="13"/>
        <v>#DIV/0!</v>
      </c>
    </row>
    <row r="47" spans="2:5" ht="13.5" thickBot="1">
      <c r="B47" s="56" t="str">
        <f>+Calculation!AD44</f>
        <v>Controlled dump/landfill without gas collection</v>
      </c>
      <c r="C47" s="53" t="e">
        <f t="shared" si="11"/>
        <v>#DIV/0!</v>
      </c>
      <c r="D47" s="53">
        <f t="shared" si="12"/>
        <v>0</v>
      </c>
      <c r="E47" s="53" t="e">
        <f t="shared" si="13"/>
        <v>#DIV/0!</v>
      </c>
    </row>
    <row r="48" spans="2:5" ht="13.5" thickBot="1">
      <c r="B48" s="56" t="str">
        <f>+Calculation!AD45</f>
        <v>Sanitary landfill with gas collection</v>
      </c>
      <c r="C48" s="53" t="e">
        <f t="shared" si="11"/>
        <v>#DIV/0!</v>
      </c>
      <c r="D48" s="53" t="e">
        <f t="shared" si="12"/>
        <v>#DIV/0!</v>
      </c>
      <c r="E48" s="53" t="e">
        <f t="shared" si="13"/>
        <v>#DIV/0!</v>
      </c>
    </row>
    <row r="49" spans="1:13" ht="13.5" thickBot="1">
      <c r="B49" s="56" t="str">
        <f>+Calculation!AD46</f>
        <v>BS + landfill</v>
      </c>
      <c r="C49" s="53" t="e">
        <f t="shared" si="11"/>
        <v>#DIV/0!</v>
      </c>
      <c r="D49" s="53">
        <f t="shared" si="12"/>
        <v>0</v>
      </c>
      <c r="E49" s="53" t="e">
        <f t="shared" si="13"/>
        <v>#DIV/0!</v>
      </c>
    </row>
    <row r="50" spans="1:13" ht="13.5" thickBot="1">
      <c r="B50" s="56" t="str">
        <f>+Calculation!AD47</f>
        <v>MBT aerobic + further treatment</v>
      </c>
      <c r="C50" s="53">
        <f t="shared" si="11"/>
        <v>0</v>
      </c>
      <c r="D50" s="53">
        <f t="shared" si="12"/>
        <v>0</v>
      </c>
      <c r="E50" s="53">
        <f t="shared" si="13"/>
        <v>0</v>
      </c>
    </row>
    <row r="51" spans="1:13" ht="13.5" thickBot="1">
      <c r="B51" s="56" t="str">
        <f>+Calculation!AD48</f>
        <v>MBT anaerobic + further treatment</v>
      </c>
      <c r="C51" s="53">
        <f t="shared" ref="C51" si="14">+L70</f>
        <v>0</v>
      </c>
      <c r="D51" s="53">
        <f t="shared" ref="D51" si="15">+L81</f>
        <v>0</v>
      </c>
      <c r="E51" s="53">
        <f t="shared" ref="E51" si="16">+D51+C51</f>
        <v>0</v>
      </c>
    </row>
    <row r="52" spans="1:13" ht="13.5" thickBot="1">
      <c r="B52" s="56" t="str">
        <f>+Calculation!AD49</f>
        <v>MBS + further treatment</v>
      </c>
      <c r="C52" s="53">
        <f>+L71</f>
        <v>0</v>
      </c>
      <c r="D52" s="53">
        <f>+L82</f>
        <v>0</v>
      </c>
      <c r="E52" s="53">
        <f t="shared" si="13"/>
        <v>0</v>
      </c>
      <c r="G52" s="57"/>
      <c r="H52" s="58"/>
      <c r="I52" s="58"/>
      <c r="J52" s="58"/>
    </row>
    <row r="53" spans="1:13" ht="13.5" thickBot="1">
      <c r="B53" s="56" t="str">
        <f>+Calculation!AD50</f>
        <v>Incineration</v>
      </c>
      <c r="C53" s="53" t="e">
        <f>+L72</f>
        <v>#DIV/0!</v>
      </c>
      <c r="D53" s="53" t="e">
        <f>+L83</f>
        <v>#DIV/0!</v>
      </c>
      <c r="E53" s="53" t="e">
        <f t="shared" si="13"/>
        <v>#DIV/0!</v>
      </c>
      <c r="H53" s="57" t="s">
        <v>38</v>
      </c>
      <c r="I53" s="57" t="s">
        <v>6</v>
      </c>
      <c r="J53" s="57" t="s">
        <v>120</v>
      </c>
    </row>
    <row r="54" spans="1:13" ht="13.5" thickBot="1">
      <c r="B54" s="54"/>
      <c r="C54" s="53"/>
      <c r="D54" s="53"/>
      <c r="E54" s="53"/>
      <c r="G54" s="58" t="s">
        <v>42</v>
      </c>
      <c r="H54" s="59">
        <f>SUM(C34:C40)</f>
        <v>0</v>
      </c>
      <c r="I54" s="59" t="e">
        <f>SUM(C44:C53)</f>
        <v>#DIV/0!</v>
      </c>
      <c r="J54" s="59" t="e">
        <f>+I54+H54</f>
        <v>#DIV/0!</v>
      </c>
    </row>
    <row r="55" spans="1:13" ht="13.5" thickBot="1">
      <c r="B55" s="3" t="s">
        <v>23</v>
      </c>
      <c r="C55" s="60" t="e">
        <f>SUM(C34:C53)</f>
        <v>#DIV/0!</v>
      </c>
      <c r="D55" s="60" t="e">
        <f>SUM(D34:D53)</f>
        <v>#DIV/0!</v>
      </c>
      <c r="E55" s="60" t="e">
        <f>+D55+C55</f>
        <v>#DIV/0!</v>
      </c>
      <c r="G55" s="58" t="s">
        <v>43</v>
      </c>
      <c r="H55" s="59">
        <f>SUM(D34:D40)</f>
        <v>0</v>
      </c>
      <c r="I55" s="59" t="e">
        <f>SUM(D44:D53)</f>
        <v>#DIV/0!</v>
      </c>
      <c r="J55" s="59" t="e">
        <f>+I55+H55</f>
        <v>#DIV/0!</v>
      </c>
    </row>
    <row r="56" spans="1:13">
      <c r="G56" s="58" t="s">
        <v>44</v>
      </c>
      <c r="H56" s="59">
        <f>+H54+H55</f>
        <v>0</v>
      </c>
      <c r="I56" s="59" t="e">
        <f>+I54+I55</f>
        <v>#DIV/0!</v>
      </c>
      <c r="J56" s="59" t="e">
        <f>+I56+H56</f>
        <v>#DIV/0!</v>
      </c>
    </row>
    <row r="57" spans="1:13">
      <c r="G57" s="57"/>
      <c r="H57" s="59"/>
      <c r="I57" s="59"/>
      <c r="J57" s="59"/>
    </row>
    <row r="58" spans="1:13">
      <c r="G58" s="57"/>
      <c r="H58" s="58"/>
      <c r="I58" s="58"/>
      <c r="J58" s="59"/>
      <c r="K58" s="62"/>
    </row>
    <row r="59" spans="1:13">
      <c r="G59" s="57"/>
      <c r="H59" s="58"/>
      <c r="I59" s="58"/>
      <c r="J59" s="59"/>
      <c r="K59" s="62"/>
    </row>
    <row r="60" spans="1:13" s="601" customFormat="1" ht="15.75">
      <c r="A60" s="61" t="s">
        <v>926</v>
      </c>
      <c r="J60" s="602"/>
      <c r="K60" s="61" t="s">
        <v>927</v>
      </c>
    </row>
    <row r="61" spans="1:13" ht="18">
      <c r="A61" s="13"/>
    </row>
    <row r="62" spans="1:13">
      <c r="B62" s="603"/>
      <c r="C62" s="14" t="s">
        <v>38</v>
      </c>
      <c r="D62" s="14" t="s">
        <v>39</v>
      </c>
      <c r="K62" s="38"/>
      <c r="L62" s="38" t="s">
        <v>6</v>
      </c>
      <c r="M62" s="14" t="s">
        <v>39</v>
      </c>
    </row>
    <row r="63" spans="1:13">
      <c r="B63" s="38" t="str">
        <f>+Calculation!AD12</f>
        <v>Food waste</v>
      </c>
      <c r="C63" s="62">
        <f>+Calculation!AG12</f>
        <v>0</v>
      </c>
      <c r="K63" s="63" t="str">
        <f t="shared" ref="K63:K71" si="17">+B17</f>
        <v>Scattered</v>
      </c>
      <c r="L63" s="62">
        <f>+Calculation!AG41</f>
        <v>0</v>
      </c>
    </row>
    <row r="64" spans="1:13">
      <c r="B64" s="38" t="str">
        <f>+Calculation!AD13</f>
        <v>Garden and Park waste</v>
      </c>
      <c r="C64" s="62">
        <f>+Calculation!AG13</f>
        <v>0</v>
      </c>
      <c r="K64" s="63" t="str">
        <f t="shared" si="17"/>
        <v>Burned-open</v>
      </c>
      <c r="L64" s="62" t="e">
        <f>+Calculation!AG42</f>
        <v>#DIV/0!</v>
      </c>
    </row>
    <row r="65" spans="1:12">
      <c r="B65" s="38" t="str">
        <f>+Calculation!AD14</f>
        <v>Paper, cardboard</v>
      </c>
      <c r="C65" s="62">
        <f>+Calculation!AG14</f>
        <v>0</v>
      </c>
      <c r="K65" s="63" t="str">
        <f t="shared" si="17"/>
        <v>Wild dump</v>
      </c>
      <c r="L65" s="62" t="e">
        <f>+Calculation!AG43</f>
        <v>#DIV/0!</v>
      </c>
    </row>
    <row r="66" spans="1:12">
      <c r="B66" s="38" t="str">
        <f>+Calculation!AD15</f>
        <v>Plastics</v>
      </c>
      <c r="C66" s="62">
        <f>+Calculation!AG15</f>
        <v>0</v>
      </c>
      <c r="K66" s="63" t="str">
        <f t="shared" si="17"/>
        <v>Controlled landfill</v>
      </c>
      <c r="L66" s="62" t="e">
        <f>+Calculation!AG44</f>
        <v>#DIV/0!</v>
      </c>
    </row>
    <row r="67" spans="1:12">
      <c r="B67" s="38" t="str">
        <f>+Calculation!AD16</f>
        <v>Glass</v>
      </c>
      <c r="C67" s="62">
        <f>+Calculation!AG16</f>
        <v>0</v>
      </c>
      <c r="K67" s="63" t="str">
        <f t="shared" si="17"/>
        <v>Sanitary landfill</v>
      </c>
      <c r="L67" s="62" t="e">
        <f>+Calculation!AG45</f>
        <v>#DIV/0!</v>
      </c>
    </row>
    <row r="68" spans="1:12">
      <c r="B68" s="38" t="str">
        <f>+Calculation!AD17</f>
        <v>Ferrous Metals</v>
      </c>
      <c r="C68" s="62">
        <f>+Calculation!AG17</f>
        <v>0</v>
      </c>
      <c r="K68" s="63" t="str">
        <f t="shared" si="17"/>
        <v>BS/landfill</v>
      </c>
      <c r="L68" s="62" t="e">
        <f>+Calculation!AG46</f>
        <v>#DIV/0!</v>
      </c>
    </row>
    <row r="69" spans="1:12">
      <c r="B69" s="38" t="str">
        <f>+Calculation!AD18</f>
        <v>Aluminium</v>
      </c>
      <c r="C69" s="62">
        <f>+Calculation!AG18</f>
        <v>0</v>
      </c>
      <c r="K69" s="63" t="str">
        <f t="shared" si="17"/>
        <v>MBTaerobic/treatm</v>
      </c>
      <c r="L69" s="62">
        <f>+Calculation!AG47</f>
        <v>0</v>
      </c>
    </row>
    <row r="70" spans="1:12">
      <c r="A70" s="62"/>
      <c r="B70" s="38"/>
      <c r="C70" s="62"/>
      <c r="K70" s="63" t="str">
        <f t="shared" si="17"/>
        <v>MBTanaerobic/treatm</v>
      </c>
      <c r="L70" s="62">
        <f>+Calculation!AG48</f>
        <v>0</v>
      </c>
    </row>
    <row r="71" spans="1:12">
      <c r="B71" s="64" t="s">
        <v>40</v>
      </c>
      <c r="D71" s="62"/>
      <c r="K71" s="63" t="str">
        <f t="shared" si="17"/>
        <v>MBS/treatm</v>
      </c>
      <c r="L71" s="62">
        <f>+Calculation!AG49</f>
        <v>0</v>
      </c>
    </row>
    <row r="72" spans="1:12">
      <c r="B72" s="63" t="str">
        <f>+Calculation!AD20</f>
        <v>Food waste</v>
      </c>
      <c r="C72" s="62">
        <f>+Calculation!AG20</f>
        <v>0</v>
      </c>
      <c r="K72" s="65" t="s">
        <v>27</v>
      </c>
      <c r="L72" s="62" t="e">
        <f>+Calculation!AG50</f>
        <v>#DIV/0!</v>
      </c>
    </row>
    <row r="73" spans="1:12">
      <c r="B73" s="63" t="str">
        <f>+Calculation!AD21</f>
        <v>Garden and Park waste</v>
      </c>
      <c r="C73" s="62">
        <f>+Calculation!AG21</f>
        <v>0</v>
      </c>
      <c r="K73" s="66" t="s">
        <v>40</v>
      </c>
    </row>
    <row r="74" spans="1:12">
      <c r="B74" s="63" t="str">
        <f>+Calculation!AD22</f>
        <v>Paper, cardboard</v>
      </c>
      <c r="C74" s="62">
        <f>+Calculation!AG22</f>
        <v>0</v>
      </c>
      <c r="K74" s="67" t="str">
        <f>+K63</f>
        <v>Scattered</v>
      </c>
      <c r="L74" s="63">
        <f>+Calculation!AG52</f>
        <v>0</v>
      </c>
    </row>
    <row r="75" spans="1:12">
      <c r="B75" s="63" t="str">
        <f>+Calculation!AD23</f>
        <v>Plastics</v>
      </c>
      <c r="C75" s="62">
        <f>+Calculation!AG23</f>
        <v>0</v>
      </c>
      <c r="K75" s="67" t="str">
        <f t="shared" ref="K75:K82" si="18">+K64</f>
        <v>Burned-open</v>
      </c>
      <c r="L75" s="63">
        <f>+Calculation!AG53</f>
        <v>0</v>
      </c>
    </row>
    <row r="76" spans="1:12">
      <c r="B76" s="63" t="str">
        <f>+Calculation!AD24</f>
        <v>Glass</v>
      </c>
      <c r="C76" s="62">
        <f>+Calculation!AG24</f>
        <v>0</v>
      </c>
      <c r="K76" s="67" t="str">
        <f t="shared" si="18"/>
        <v>Wild dump</v>
      </c>
      <c r="L76" s="63">
        <f>+Calculation!AG54</f>
        <v>0</v>
      </c>
    </row>
    <row r="77" spans="1:12">
      <c r="B77" s="63" t="str">
        <f>+Calculation!AD25</f>
        <v>Ferrous Metals</v>
      </c>
      <c r="C77" s="62">
        <f>+Calculation!AG25</f>
        <v>0</v>
      </c>
      <c r="K77" s="67" t="str">
        <f t="shared" si="18"/>
        <v>Controlled landfill</v>
      </c>
      <c r="L77" s="63">
        <f>+Calculation!AG55</f>
        <v>0</v>
      </c>
    </row>
    <row r="78" spans="1:12">
      <c r="B78" s="63" t="str">
        <f>+Calculation!AD26</f>
        <v>Aluminium</v>
      </c>
      <c r="C78" s="62">
        <f>+Calculation!AG26</f>
        <v>0</v>
      </c>
      <c r="K78" s="67" t="str">
        <f t="shared" si="18"/>
        <v>Sanitary landfill</v>
      </c>
      <c r="L78" s="63" t="e">
        <f>+Calculation!AG56</f>
        <v>#DIV/0!</v>
      </c>
    </row>
    <row r="79" spans="1:12">
      <c r="B79" s="63"/>
      <c r="C79" s="62"/>
      <c r="K79" s="67" t="str">
        <f t="shared" si="18"/>
        <v>BS/landfill</v>
      </c>
      <c r="L79" s="63">
        <f>+Calculation!AG57</f>
        <v>0</v>
      </c>
    </row>
    <row r="80" spans="1:12">
      <c r="B80" s="64" t="s">
        <v>41</v>
      </c>
      <c r="D80" s="62"/>
      <c r="K80" s="67" t="str">
        <f t="shared" si="18"/>
        <v>MBTaerobic/treatm</v>
      </c>
      <c r="L80" s="63">
        <f>+Calculation!AG58</f>
        <v>0</v>
      </c>
    </row>
    <row r="81" spans="1:13">
      <c r="B81" s="64" t="s">
        <v>39</v>
      </c>
      <c r="D81" s="68">
        <f>SUM(C63:C70,C72:C79)</f>
        <v>0</v>
      </c>
      <c r="K81" s="67" t="str">
        <f t="shared" si="18"/>
        <v>MBTanaerobic/treatm</v>
      </c>
      <c r="L81" s="63">
        <f>+Calculation!AG59</f>
        <v>0</v>
      </c>
    </row>
    <row r="82" spans="1:13">
      <c r="K82" s="67" t="str">
        <f t="shared" si="18"/>
        <v>MBS/treatm</v>
      </c>
      <c r="L82" s="63">
        <f>+Calculation!AG60</f>
        <v>0</v>
      </c>
    </row>
    <row r="83" spans="1:13">
      <c r="E83" s="299"/>
      <c r="K83" s="67" t="str">
        <f>+K72</f>
        <v>Incineration</v>
      </c>
      <c r="L83" s="63" t="e">
        <f>+Calculation!AG61</f>
        <v>#DIV/0!</v>
      </c>
    </row>
    <row r="84" spans="1:13">
      <c r="E84" s="299"/>
      <c r="K84" s="66" t="s">
        <v>41</v>
      </c>
    </row>
    <row r="85" spans="1:13">
      <c r="E85" s="299"/>
      <c r="K85" s="64" t="s">
        <v>39</v>
      </c>
      <c r="M85" s="68" t="e">
        <f>SUM(L63:L72,L74:L83)</f>
        <v>#DIV/0!</v>
      </c>
    </row>
    <row r="87" spans="1:13" s="595" customFormat="1" ht="18">
      <c r="A87" s="40" t="s">
        <v>12</v>
      </c>
    </row>
    <row r="89" spans="1:13" ht="13.5" thickBot="1"/>
    <row r="90" spans="1:13" ht="13.5" thickBot="1">
      <c r="B90" s="69"/>
      <c r="C90" s="604"/>
      <c r="D90" s="54" t="str">
        <f>+Calculation!AK3</f>
        <v>Euro/yr</v>
      </c>
    </row>
    <row r="91" spans="1:13" ht="13.5" thickBot="1">
      <c r="B91" s="69" t="str">
        <f>+Calculation!AJ4</f>
        <v>Recycled dry waste</v>
      </c>
      <c r="C91" s="604"/>
      <c r="D91" s="53">
        <f>+Calculation!AM4</f>
        <v>0</v>
      </c>
    </row>
    <row r="92" spans="1:13" ht="13.5" thickBot="1">
      <c r="B92" s="69" t="str">
        <f>+Calculation!AJ5</f>
        <v>Composted organic waste</v>
      </c>
      <c r="C92" s="604"/>
      <c r="D92" s="53">
        <f>+Calculation!AM5</f>
        <v>0</v>
      </c>
    </row>
    <row r="93" spans="1:13" ht="13.5" thickBot="1">
      <c r="B93" s="69" t="str">
        <f>+Calculation!AJ6</f>
        <v>Digested organic waste</v>
      </c>
      <c r="C93" s="604"/>
      <c r="D93" s="53">
        <f>+Calculation!AM6</f>
        <v>0</v>
      </c>
    </row>
    <row r="94" spans="1:13" ht="13.5" thickBot="1">
      <c r="B94" s="69" t="str">
        <f>+Calculation!AJ7</f>
        <v>Residual waste to controlled dump/landfill without gas collection</v>
      </c>
      <c r="C94" s="604"/>
      <c r="D94" s="53">
        <f>+Calculation!AM7</f>
        <v>0</v>
      </c>
    </row>
    <row r="95" spans="1:13" ht="13.5" thickBot="1">
      <c r="B95" s="69" t="str">
        <f>+Calculation!AJ8</f>
        <v>Residual waste to sanitary landfill with gas collection</v>
      </c>
      <c r="C95" s="604"/>
      <c r="D95" s="53">
        <f>+Calculation!AM8</f>
        <v>0</v>
      </c>
    </row>
    <row r="96" spans="1:13" ht="13.5" thickBot="1">
      <c r="B96" s="69" t="str">
        <f>+Calculation!AJ9</f>
        <v>Residual waste to BS/landfill</v>
      </c>
      <c r="C96" s="604"/>
      <c r="D96" s="53">
        <f>+Calculation!AM9</f>
        <v>0</v>
      </c>
    </row>
    <row r="97" spans="1:4" ht="13.5" thickBot="1">
      <c r="B97" s="69" t="str">
        <f>+Calculation!AJ10</f>
        <v>Residual waste to MBT aerobic + further treatment</v>
      </c>
      <c r="C97" s="604"/>
      <c r="D97" s="53">
        <f>+Calculation!AM10</f>
        <v>0</v>
      </c>
    </row>
    <row r="98" spans="1:4" ht="13.5" thickBot="1">
      <c r="B98" s="69" t="str">
        <f>+Calculation!AJ11</f>
        <v>Residual waste to MBT anaerobic + further treatment</v>
      </c>
      <c r="C98" s="604"/>
      <c r="D98" s="53">
        <f>+Calculation!AM11</f>
        <v>0</v>
      </c>
    </row>
    <row r="99" spans="1:4" ht="13.5" thickBot="1">
      <c r="B99" s="69" t="str">
        <f>+Calculation!AJ12</f>
        <v>Residual waste to MBS + further treatment</v>
      </c>
      <c r="C99" s="604"/>
      <c r="D99" s="53">
        <f>+Calculation!AM12</f>
        <v>0</v>
      </c>
    </row>
    <row r="100" spans="1:4" ht="13.5" thickBot="1">
      <c r="B100" s="69" t="str">
        <f>+Calculation!AJ13</f>
        <v>Residual waste to MSWI</v>
      </c>
      <c r="C100" s="604"/>
      <c r="D100" s="53">
        <f>+Calculation!AM13</f>
        <v>0</v>
      </c>
    </row>
    <row r="101" spans="1:4" ht="13.5" thickBot="1">
      <c r="B101" s="70" t="str">
        <f>+Calculation!AJ14</f>
        <v>Total</v>
      </c>
      <c r="C101" s="604"/>
      <c r="D101" s="60">
        <f>SUM(D91:D100)</f>
        <v>0</v>
      </c>
    </row>
    <row r="104" spans="1:4" ht="18">
      <c r="A104" s="71" t="s">
        <v>928</v>
      </c>
    </row>
    <row r="105" spans="1:4" ht="16.5" thickBot="1">
      <c r="D105" s="75"/>
    </row>
    <row r="106" spans="1:4" ht="13.5" thickBot="1">
      <c r="B106" s="69" t="s">
        <v>133</v>
      </c>
      <c r="C106" s="604"/>
      <c r="D106" s="53" t="e">
        <f>+E55</f>
        <v>#DIV/0!</v>
      </c>
    </row>
    <row r="107" spans="1:4" ht="13.5" thickBot="1">
      <c r="B107" s="69" t="s">
        <v>180</v>
      </c>
      <c r="C107" s="604"/>
      <c r="D107" s="53">
        <f>+D101</f>
        <v>0</v>
      </c>
    </row>
    <row r="108" spans="1:4" ht="13.5" thickBot="1">
      <c r="B108" s="69" t="s">
        <v>181</v>
      </c>
      <c r="C108" s="604"/>
      <c r="D108" s="72" t="e">
        <f>+D107/D106</f>
        <v>#DIV/0!</v>
      </c>
    </row>
  </sheetData>
  <sheetProtection password="AAA9" sheet="1"/>
  <mergeCells count="2">
    <mergeCell ref="O5:P5"/>
    <mergeCell ref="O6:P6"/>
  </mergeCells>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R108"/>
  <sheetViews>
    <sheetView zoomScaleNormal="100" workbookViewId="0"/>
  </sheetViews>
  <sheetFormatPr baseColWidth="10" defaultColWidth="11.5703125" defaultRowHeight="12.75"/>
  <cols>
    <col min="1" max="1" width="8.5703125" style="14" customWidth="1"/>
    <col min="2" max="2" width="37.28515625" style="14" customWidth="1"/>
    <col min="3" max="3" width="15.28515625" style="14" customWidth="1"/>
    <col min="4" max="4" width="15.7109375" style="14" bestFit="1" customWidth="1"/>
    <col min="5" max="5" width="13.28515625" style="14" customWidth="1"/>
    <col min="6" max="12" width="11.5703125" style="14"/>
    <col min="13" max="13" width="11" style="14" customWidth="1"/>
    <col min="14" max="14" width="11.85546875" style="14" customWidth="1"/>
    <col min="15" max="16384" width="11.5703125" style="14"/>
  </cols>
  <sheetData>
    <row r="1" spans="1:18" s="595" customFormat="1" ht="18">
      <c r="A1" s="40" t="s">
        <v>131</v>
      </c>
    </row>
    <row r="2" spans="1:18" ht="13.9" customHeight="1">
      <c r="A2" s="13"/>
    </row>
    <row r="3" spans="1:18">
      <c r="B3" s="41" t="s">
        <v>7</v>
      </c>
      <c r="C3" s="42">
        <f>+Calculation!P39</f>
        <v>0</v>
      </c>
      <c r="D3" s="596"/>
      <c r="E3" s="596"/>
    </row>
    <row r="4" spans="1:18" ht="13.5" thickBot="1">
      <c r="B4" s="22"/>
      <c r="C4" s="597"/>
      <c r="D4" s="598"/>
      <c r="E4" s="598"/>
    </row>
    <row r="5" spans="1:18">
      <c r="B5" s="41" t="s">
        <v>4</v>
      </c>
      <c r="C5" s="42">
        <f>+Calculation!P14</f>
        <v>0</v>
      </c>
      <c r="D5" s="596"/>
      <c r="E5" s="596"/>
      <c r="O5" s="784" t="s">
        <v>132</v>
      </c>
      <c r="P5" s="785"/>
    </row>
    <row r="6" spans="1:18" ht="13.5" thickBot="1">
      <c r="B6" s="22" t="s">
        <v>5</v>
      </c>
      <c r="C6" s="42"/>
      <c r="D6" s="596"/>
      <c r="E6" s="596"/>
      <c r="O6" s="786">
        <f>+C3</f>
        <v>0</v>
      </c>
      <c r="P6" s="787"/>
    </row>
    <row r="7" spans="1:18">
      <c r="B7" s="1" t="s">
        <v>90</v>
      </c>
      <c r="C7" s="42">
        <f>+Calculation!P7</f>
        <v>0</v>
      </c>
      <c r="D7" s="596"/>
      <c r="E7" s="596"/>
      <c r="M7" s="299"/>
    </row>
    <row r="8" spans="1:18" ht="13.5" thickBot="1">
      <c r="B8" s="1" t="s">
        <v>173</v>
      </c>
      <c r="C8" s="42">
        <f>+Calculation!P8</f>
        <v>0</v>
      </c>
      <c r="D8" s="596"/>
      <c r="E8" s="596"/>
    </row>
    <row r="9" spans="1:18" ht="13.5" thickBot="1">
      <c r="B9" s="1" t="s">
        <v>20</v>
      </c>
      <c r="C9" s="42">
        <f>+Calculation!P9</f>
        <v>0</v>
      </c>
      <c r="D9" s="596"/>
      <c r="E9" s="596"/>
      <c r="M9" s="38" t="s">
        <v>121</v>
      </c>
      <c r="N9" s="606">
        <f>+C5</f>
        <v>0</v>
      </c>
      <c r="O9" s="43" t="e">
        <f>+N9/O6</f>
        <v>#DIV/0!</v>
      </c>
      <c r="P9" s="44" t="e">
        <f>+Q9/O6</f>
        <v>#DIV/0!</v>
      </c>
      <c r="Q9" s="45">
        <f>+C15</f>
        <v>0</v>
      </c>
      <c r="R9" s="23" t="s">
        <v>122</v>
      </c>
    </row>
    <row r="10" spans="1:18">
      <c r="B10" s="1" t="s">
        <v>21</v>
      </c>
      <c r="C10" s="42">
        <f>+Calculation!P10</f>
        <v>0</v>
      </c>
      <c r="D10" s="596"/>
      <c r="E10" s="596"/>
      <c r="N10" s="62"/>
      <c r="Q10" s="62"/>
    </row>
    <row r="11" spans="1:18">
      <c r="B11" s="1" t="s">
        <v>22</v>
      </c>
      <c r="C11" s="42">
        <f>+Calculation!P11</f>
        <v>0</v>
      </c>
      <c r="D11" s="596"/>
      <c r="E11" s="596"/>
      <c r="M11" s="46" t="str">
        <f t="shared" ref="M11:N17" si="0">+B7</f>
        <v>Food waste</v>
      </c>
      <c r="N11" s="607">
        <f t="shared" si="0"/>
        <v>0</v>
      </c>
      <c r="O11" s="73" t="e">
        <f t="shared" ref="O11:O17" si="1">+N11/$N$9</f>
        <v>#DIV/0!</v>
      </c>
      <c r="P11" s="74" t="e">
        <f t="shared" ref="P11:P17" si="2">+Q11/$Q$9</f>
        <v>#DIV/0!</v>
      </c>
      <c r="Q11" s="49">
        <f t="shared" ref="Q11:Q17" si="3">+C17</f>
        <v>0</v>
      </c>
      <c r="R11" s="14" t="str">
        <f t="shared" ref="R11:R17" si="4">+B17</f>
        <v>Scattered</v>
      </c>
    </row>
    <row r="12" spans="1:18">
      <c r="B12" s="1" t="s">
        <v>143</v>
      </c>
      <c r="C12" s="42">
        <f>+Calculation!P12</f>
        <v>0</v>
      </c>
      <c r="D12" s="596"/>
      <c r="E12" s="596"/>
      <c r="M12" s="46" t="str">
        <f t="shared" si="0"/>
        <v>Garden &amp; park waste</v>
      </c>
      <c r="N12" s="607">
        <f t="shared" si="0"/>
        <v>0</v>
      </c>
      <c r="O12" s="73" t="e">
        <f t="shared" si="1"/>
        <v>#DIV/0!</v>
      </c>
      <c r="P12" s="74" t="e">
        <f t="shared" si="2"/>
        <v>#DIV/0!</v>
      </c>
      <c r="Q12" s="49">
        <f t="shared" si="3"/>
        <v>0</v>
      </c>
      <c r="R12" s="14" t="str">
        <f t="shared" si="4"/>
        <v>Burned-open</v>
      </c>
    </row>
    <row r="13" spans="1:18">
      <c r="B13" s="1" t="s">
        <v>94</v>
      </c>
      <c r="C13" s="42">
        <f>+Calculation!P13</f>
        <v>0</v>
      </c>
      <c r="D13" s="596"/>
      <c r="E13" s="596"/>
      <c r="M13" s="46" t="str">
        <f t="shared" si="0"/>
        <v>Paper, cardboard</v>
      </c>
      <c r="N13" s="607">
        <f t="shared" si="0"/>
        <v>0</v>
      </c>
      <c r="O13" s="73" t="e">
        <f t="shared" si="1"/>
        <v>#DIV/0!</v>
      </c>
      <c r="P13" s="74" t="e">
        <f t="shared" si="2"/>
        <v>#DIV/0!</v>
      </c>
      <c r="Q13" s="49">
        <f t="shared" si="3"/>
        <v>0</v>
      </c>
      <c r="R13" s="14" t="str">
        <f t="shared" si="4"/>
        <v>Wild dump</v>
      </c>
    </row>
    <row r="14" spans="1:18">
      <c r="B14" s="1"/>
      <c r="C14" s="42"/>
      <c r="D14" s="596"/>
      <c r="E14" s="596"/>
      <c r="M14" s="46" t="str">
        <f t="shared" si="0"/>
        <v>Plastics</v>
      </c>
      <c r="N14" s="607">
        <f t="shared" si="0"/>
        <v>0</v>
      </c>
      <c r="O14" s="73" t="e">
        <f t="shared" si="1"/>
        <v>#DIV/0!</v>
      </c>
      <c r="P14" s="74" t="e">
        <f t="shared" si="2"/>
        <v>#DIV/0!</v>
      </c>
      <c r="Q14" s="49">
        <f t="shared" si="3"/>
        <v>0</v>
      </c>
      <c r="R14" s="14" t="str">
        <f t="shared" si="4"/>
        <v>Controlled landfill</v>
      </c>
    </row>
    <row r="15" spans="1:18">
      <c r="B15" s="4" t="s">
        <v>6</v>
      </c>
      <c r="C15" s="42">
        <f>+Calculation!P38</f>
        <v>0</v>
      </c>
      <c r="D15" s="596"/>
      <c r="E15" s="596"/>
      <c r="M15" s="46" t="str">
        <f t="shared" si="0"/>
        <v>Glass</v>
      </c>
      <c r="N15" s="607">
        <f t="shared" si="0"/>
        <v>0</v>
      </c>
      <c r="O15" s="73" t="e">
        <f t="shared" si="1"/>
        <v>#DIV/0!</v>
      </c>
      <c r="P15" s="74" t="e">
        <f t="shared" si="2"/>
        <v>#DIV/0!</v>
      </c>
      <c r="Q15" s="49">
        <f t="shared" si="3"/>
        <v>0</v>
      </c>
      <c r="R15" s="14" t="str">
        <f t="shared" si="4"/>
        <v>Sanitary landfill</v>
      </c>
    </row>
    <row r="16" spans="1:18">
      <c r="B16" s="22" t="s">
        <v>5</v>
      </c>
      <c r="C16" s="42"/>
      <c r="D16" s="596"/>
      <c r="E16" s="596"/>
      <c r="M16" s="46" t="str">
        <f t="shared" si="0"/>
        <v>Ferrous metals</v>
      </c>
      <c r="N16" s="607">
        <f t="shared" si="0"/>
        <v>0</v>
      </c>
      <c r="O16" s="73" t="e">
        <f t="shared" si="1"/>
        <v>#DIV/0!</v>
      </c>
      <c r="P16" s="74" t="e">
        <f t="shared" si="2"/>
        <v>#DIV/0!</v>
      </c>
      <c r="Q16" s="49">
        <f t="shared" si="3"/>
        <v>0</v>
      </c>
      <c r="R16" s="14" t="str">
        <f t="shared" si="4"/>
        <v>BS/landfill</v>
      </c>
    </row>
    <row r="17" spans="1:18">
      <c r="B17" s="50" t="s">
        <v>174</v>
      </c>
      <c r="C17" s="42">
        <f>+Calculation!P28</f>
        <v>0</v>
      </c>
      <c r="D17" s="596"/>
      <c r="E17" s="596"/>
      <c r="M17" s="46" t="str">
        <f t="shared" si="0"/>
        <v>Aluminium</v>
      </c>
      <c r="N17" s="607">
        <f t="shared" si="0"/>
        <v>0</v>
      </c>
      <c r="O17" s="73" t="e">
        <f t="shared" si="1"/>
        <v>#DIV/0!</v>
      </c>
      <c r="P17" s="74" t="e">
        <f t="shared" si="2"/>
        <v>#DIV/0!</v>
      </c>
      <c r="Q17" s="49">
        <f t="shared" si="3"/>
        <v>0</v>
      </c>
      <c r="R17" s="14" t="str">
        <f t="shared" si="4"/>
        <v>MBTaerobic/treatm</v>
      </c>
    </row>
    <row r="18" spans="1:18">
      <c r="B18" s="50" t="s">
        <v>175</v>
      </c>
      <c r="C18" s="42">
        <f>+Calculation!P29</f>
        <v>0</v>
      </c>
      <c r="D18" s="596"/>
      <c r="E18" s="596"/>
      <c r="O18" s="599"/>
      <c r="P18" s="74" t="e">
        <f t="shared" ref="P18" si="5">+Q18/$Q$9</f>
        <v>#DIV/0!</v>
      </c>
      <c r="Q18" s="49">
        <f t="shared" ref="Q18" si="6">+C24</f>
        <v>0</v>
      </c>
      <c r="R18" s="14" t="str">
        <f t="shared" ref="R18" si="7">+B24</f>
        <v>MBTanaerobic/treatm</v>
      </c>
    </row>
    <row r="19" spans="1:18">
      <c r="B19" s="50" t="s">
        <v>170</v>
      </c>
      <c r="C19" s="42">
        <f>+Calculation!P30</f>
        <v>0</v>
      </c>
      <c r="D19" s="596"/>
      <c r="E19" s="596"/>
      <c r="O19" s="599"/>
      <c r="P19" s="74" t="e">
        <f>+Q19/$Q$9</f>
        <v>#DIV/0!</v>
      </c>
      <c r="Q19" s="49">
        <f>+C25</f>
        <v>0</v>
      </c>
      <c r="R19" s="14" t="str">
        <f>+B25</f>
        <v>MBS/treatm</v>
      </c>
    </row>
    <row r="20" spans="1:18">
      <c r="B20" s="50" t="s">
        <v>176</v>
      </c>
      <c r="C20" s="42">
        <f>+Calculation!P31</f>
        <v>0</v>
      </c>
      <c r="D20" s="596"/>
      <c r="E20" s="596"/>
      <c r="P20" s="74" t="e">
        <f>+Q20/$Q$9</f>
        <v>#DIV/0!</v>
      </c>
      <c r="Q20" s="49">
        <f>+C26</f>
        <v>0</v>
      </c>
      <c r="R20" s="14" t="str">
        <f>+B26</f>
        <v>Incineration</v>
      </c>
    </row>
    <row r="21" spans="1:18">
      <c r="B21" s="51" t="s">
        <v>177</v>
      </c>
      <c r="C21" s="42">
        <f>+Calculation!P32</f>
        <v>0</v>
      </c>
      <c r="D21" s="596"/>
      <c r="E21" s="596"/>
    </row>
    <row r="22" spans="1:18">
      <c r="B22" s="1" t="s">
        <v>86</v>
      </c>
      <c r="C22" s="52">
        <f>+Calculation!P33</f>
        <v>0</v>
      </c>
      <c r="D22" s="596"/>
      <c r="E22" s="596"/>
    </row>
    <row r="23" spans="1:18">
      <c r="B23" s="188" t="s">
        <v>649</v>
      </c>
      <c r="C23" s="42">
        <f>+Calculation!P34</f>
        <v>0</v>
      </c>
      <c r="D23" s="596"/>
      <c r="E23" s="596"/>
    </row>
    <row r="24" spans="1:18">
      <c r="B24" s="188" t="s">
        <v>650</v>
      </c>
      <c r="C24" s="42">
        <f>+Calculation!P35</f>
        <v>0</v>
      </c>
      <c r="D24" s="596"/>
      <c r="E24" s="596"/>
    </row>
    <row r="25" spans="1:18">
      <c r="B25" s="189" t="s">
        <v>844</v>
      </c>
      <c r="C25" s="42">
        <f>+Calculation!P36</f>
        <v>0</v>
      </c>
      <c r="D25" s="596"/>
      <c r="E25" s="596"/>
    </row>
    <row r="26" spans="1:18">
      <c r="B26" s="1" t="s">
        <v>27</v>
      </c>
      <c r="C26" s="42">
        <f>+Calculation!P37</f>
        <v>0</v>
      </c>
      <c r="D26" s="596"/>
      <c r="E26" s="596"/>
    </row>
    <row r="27" spans="1:18">
      <c r="D27" s="596"/>
      <c r="E27" s="596"/>
    </row>
    <row r="28" spans="1:18">
      <c r="C28" s="62"/>
      <c r="D28" s="62"/>
      <c r="E28" s="62"/>
    </row>
    <row r="29" spans="1:18" s="595" customFormat="1" ht="18">
      <c r="A29" s="40" t="s">
        <v>925</v>
      </c>
      <c r="B29" s="600"/>
    </row>
    <row r="30" spans="1:18" ht="13.5" thickBot="1">
      <c r="G30" s="299"/>
    </row>
    <row r="31" spans="1:18" ht="27" thickBot="1">
      <c r="B31" s="54"/>
      <c r="C31" s="53" t="s">
        <v>166</v>
      </c>
      <c r="D31" s="229" t="s">
        <v>509</v>
      </c>
      <c r="E31" s="54" t="s">
        <v>169</v>
      </c>
      <c r="H31" s="75"/>
    </row>
    <row r="32" spans="1:18" ht="13.5" thickBot="1">
      <c r="B32" s="55" t="s">
        <v>4</v>
      </c>
      <c r="C32" s="53"/>
      <c r="D32" s="54"/>
      <c r="E32" s="54"/>
    </row>
    <row r="33" spans="2:5" ht="13.5" thickBot="1">
      <c r="B33" s="54"/>
      <c r="C33" s="54"/>
      <c r="D33" s="54"/>
      <c r="E33" s="54"/>
    </row>
    <row r="34" spans="2:5" ht="13.5" thickBot="1">
      <c r="B34" s="2" t="str">
        <f t="shared" ref="B34:C40" si="8">+B63</f>
        <v>Food waste</v>
      </c>
      <c r="C34" s="53">
        <f t="shared" si="8"/>
        <v>0</v>
      </c>
      <c r="D34" s="53">
        <f t="shared" ref="D34:D40" si="9">+C72</f>
        <v>0</v>
      </c>
      <c r="E34" s="53">
        <f t="shared" ref="E34:E40" si="10">+D34+C34</f>
        <v>0</v>
      </c>
    </row>
    <row r="35" spans="2:5" ht="13.5" thickBot="1">
      <c r="B35" s="2" t="str">
        <f t="shared" si="8"/>
        <v>Garden and Park waste</v>
      </c>
      <c r="C35" s="53">
        <f t="shared" si="8"/>
        <v>0</v>
      </c>
      <c r="D35" s="53">
        <f t="shared" si="9"/>
        <v>0</v>
      </c>
      <c r="E35" s="53">
        <f t="shared" si="10"/>
        <v>0</v>
      </c>
    </row>
    <row r="36" spans="2:5" ht="13.5" thickBot="1">
      <c r="B36" s="2" t="str">
        <f t="shared" si="8"/>
        <v>Paper, cardboard</v>
      </c>
      <c r="C36" s="53">
        <f t="shared" si="8"/>
        <v>0</v>
      </c>
      <c r="D36" s="53">
        <f t="shared" si="9"/>
        <v>0</v>
      </c>
      <c r="E36" s="53">
        <f t="shared" si="10"/>
        <v>0</v>
      </c>
    </row>
    <row r="37" spans="2:5" ht="13.5" thickBot="1">
      <c r="B37" s="2" t="str">
        <f t="shared" si="8"/>
        <v>Plastics</v>
      </c>
      <c r="C37" s="53">
        <f t="shared" si="8"/>
        <v>0</v>
      </c>
      <c r="D37" s="53">
        <f t="shared" si="9"/>
        <v>0</v>
      </c>
      <c r="E37" s="53">
        <f t="shared" si="10"/>
        <v>0</v>
      </c>
    </row>
    <row r="38" spans="2:5" ht="13.5" thickBot="1">
      <c r="B38" s="2" t="str">
        <f t="shared" si="8"/>
        <v>Glass</v>
      </c>
      <c r="C38" s="53">
        <f t="shared" si="8"/>
        <v>0</v>
      </c>
      <c r="D38" s="53">
        <f t="shared" si="9"/>
        <v>0</v>
      </c>
      <c r="E38" s="53">
        <f t="shared" si="10"/>
        <v>0</v>
      </c>
    </row>
    <row r="39" spans="2:5" ht="13.5" thickBot="1">
      <c r="B39" s="2" t="str">
        <f t="shared" si="8"/>
        <v>Ferrous Metals</v>
      </c>
      <c r="C39" s="53">
        <f t="shared" si="8"/>
        <v>0</v>
      </c>
      <c r="D39" s="53">
        <f>+C77</f>
        <v>0</v>
      </c>
      <c r="E39" s="53">
        <f t="shared" si="10"/>
        <v>0</v>
      </c>
    </row>
    <row r="40" spans="2:5" ht="13.5" thickBot="1">
      <c r="B40" s="2" t="str">
        <f t="shared" si="8"/>
        <v>Aluminium</v>
      </c>
      <c r="C40" s="53">
        <f t="shared" si="8"/>
        <v>0</v>
      </c>
      <c r="D40" s="53">
        <f t="shared" si="9"/>
        <v>0</v>
      </c>
      <c r="E40" s="53">
        <f t="shared" si="10"/>
        <v>0</v>
      </c>
    </row>
    <row r="41" spans="2:5" ht="13.5" thickBot="1">
      <c r="B41" s="2"/>
      <c r="C41" s="53"/>
      <c r="D41" s="53"/>
      <c r="E41" s="53"/>
    </row>
    <row r="42" spans="2:5" ht="13.5" thickBot="1">
      <c r="B42" s="3" t="s">
        <v>46</v>
      </c>
      <c r="C42" s="53"/>
      <c r="D42" s="53"/>
      <c r="E42" s="53"/>
    </row>
    <row r="43" spans="2:5" ht="13.5" thickBot="1">
      <c r="B43" s="54"/>
      <c r="C43" s="53"/>
      <c r="D43" s="53"/>
      <c r="E43" s="53"/>
    </row>
    <row r="44" spans="2:5" ht="13.5" thickBot="1">
      <c r="B44" s="56" t="str">
        <f>+Calculation!AD41</f>
        <v>Scattered waste not burned</v>
      </c>
      <c r="C44" s="53">
        <f t="shared" ref="C44:C50" si="11">+L63</f>
        <v>0</v>
      </c>
      <c r="D44" s="53">
        <f t="shared" ref="D44:D50" si="12">+L74</f>
        <v>0</v>
      </c>
      <c r="E44" s="53">
        <f t="shared" ref="E44:E53" si="13">+D44+C44</f>
        <v>0</v>
      </c>
    </row>
    <row r="45" spans="2:5" ht="13.5" thickBot="1">
      <c r="B45" s="56" t="str">
        <f>+Calculation!AD42</f>
        <v>Open burning of waste (incl. landfill fires)</v>
      </c>
      <c r="C45" s="53" t="e">
        <f t="shared" si="11"/>
        <v>#DIV/0!</v>
      </c>
      <c r="D45" s="53">
        <f t="shared" si="12"/>
        <v>0</v>
      </c>
      <c r="E45" s="53" t="e">
        <f t="shared" si="13"/>
        <v>#DIV/0!</v>
      </c>
    </row>
    <row r="46" spans="2:5" ht="13.5" thickBot="1">
      <c r="B46" s="56" t="str">
        <f>+Calculation!AD43</f>
        <v>Wild dumps/unmanaged disposal site</v>
      </c>
      <c r="C46" s="53" t="e">
        <f t="shared" si="11"/>
        <v>#DIV/0!</v>
      </c>
      <c r="D46" s="53">
        <f t="shared" si="12"/>
        <v>0</v>
      </c>
      <c r="E46" s="53" t="e">
        <f t="shared" si="13"/>
        <v>#DIV/0!</v>
      </c>
    </row>
    <row r="47" spans="2:5" ht="13.5" thickBot="1">
      <c r="B47" s="56" t="str">
        <f>+Calculation!AD44</f>
        <v>Controlled dump/landfill without gas collection</v>
      </c>
      <c r="C47" s="53" t="e">
        <f t="shared" si="11"/>
        <v>#DIV/0!</v>
      </c>
      <c r="D47" s="53">
        <f t="shared" si="12"/>
        <v>0</v>
      </c>
      <c r="E47" s="53" t="e">
        <f t="shared" si="13"/>
        <v>#DIV/0!</v>
      </c>
    </row>
    <row r="48" spans="2:5" ht="13.5" thickBot="1">
      <c r="B48" s="56" t="str">
        <f>+Calculation!AD45</f>
        <v>Sanitary landfill with gas collection</v>
      </c>
      <c r="C48" s="53" t="e">
        <f t="shared" si="11"/>
        <v>#DIV/0!</v>
      </c>
      <c r="D48" s="53" t="e">
        <f t="shared" si="12"/>
        <v>#DIV/0!</v>
      </c>
      <c r="E48" s="53" t="e">
        <f t="shared" si="13"/>
        <v>#DIV/0!</v>
      </c>
    </row>
    <row r="49" spans="1:13" ht="13.5" thickBot="1">
      <c r="B49" s="56" t="str">
        <f>+Calculation!AD46</f>
        <v>BS + landfill</v>
      </c>
      <c r="C49" s="53" t="e">
        <f t="shared" si="11"/>
        <v>#DIV/0!</v>
      </c>
      <c r="D49" s="53">
        <f t="shared" si="12"/>
        <v>0</v>
      </c>
      <c r="E49" s="53" t="e">
        <f t="shared" si="13"/>
        <v>#DIV/0!</v>
      </c>
    </row>
    <row r="50" spans="1:13" ht="13.5" thickBot="1">
      <c r="B50" s="56" t="str">
        <f>+Calculation!AD47</f>
        <v>MBT aerobic + further treatment</v>
      </c>
      <c r="C50" s="53">
        <f t="shared" si="11"/>
        <v>0</v>
      </c>
      <c r="D50" s="53">
        <f t="shared" si="12"/>
        <v>0</v>
      </c>
      <c r="E50" s="53">
        <f t="shared" si="13"/>
        <v>0</v>
      </c>
    </row>
    <row r="51" spans="1:13" ht="13.5" thickBot="1">
      <c r="B51" s="56" t="str">
        <f>+Calculation!AD48</f>
        <v>MBT anaerobic + further treatment</v>
      </c>
      <c r="C51" s="53">
        <f t="shared" ref="C51" si="14">+L70</f>
        <v>0</v>
      </c>
      <c r="D51" s="53">
        <f t="shared" ref="D51" si="15">+L81</f>
        <v>0</v>
      </c>
      <c r="E51" s="53">
        <f t="shared" ref="E51" si="16">+D51+C51</f>
        <v>0</v>
      </c>
    </row>
    <row r="52" spans="1:13" ht="13.5" thickBot="1">
      <c r="B52" s="56" t="str">
        <f>+Calculation!AD49</f>
        <v>MBS + further treatment</v>
      </c>
      <c r="C52" s="53">
        <f>+L71</f>
        <v>0</v>
      </c>
      <c r="D52" s="53">
        <f>+L82</f>
        <v>0</v>
      </c>
      <c r="E52" s="53">
        <f t="shared" si="13"/>
        <v>0</v>
      </c>
      <c r="G52" s="57"/>
      <c r="H52" s="58"/>
      <c r="I52" s="58"/>
      <c r="J52" s="58"/>
    </row>
    <row r="53" spans="1:13" ht="13.5" thickBot="1">
      <c r="B53" s="56" t="str">
        <f>+Calculation!AD50</f>
        <v>Incineration</v>
      </c>
      <c r="C53" s="53" t="e">
        <f>+L72</f>
        <v>#DIV/0!</v>
      </c>
      <c r="D53" s="53" t="e">
        <f>+L83</f>
        <v>#DIV/0!</v>
      </c>
      <c r="E53" s="53" t="e">
        <f t="shared" si="13"/>
        <v>#DIV/0!</v>
      </c>
      <c r="H53" s="57" t="s">
        <v>38</v>
      </c>
      <c r="I53" s="57" t="s">
        <v>6</v>
      </c>
      <c r="J53" s="57" t="s">
        <v>120</v>
      </c>
    </row>
    <row r="54" spans="1:13" ht="13.5" thickBot="1">
      <c r="B54" s="54"/>
      <c r="C54" s="53"/>
      <c r="D54" s="53"/>
      <c r="E54" s="53"/>
      <c r="G54" s="58" t="s">
        <v>42</v>
      </c>
      <c r="H54" s="59">
        <f>SUM(C34:C40)</f>
        <v>0</v>
      </c>
      <c r="I54" s="59" t="e">
        <f>SUM(C44:C53)</f>
        <v>#DIV/0!</v>
      </c>
      <c r="J54" s="59" t="e">
        <f>+I54+H54</f>
        <v>#DIV/0!</v>
      </c>
    </row>
    <row r="55" spans="1:13" ht="13.5" thickBot="1">
      <c r="B55" s="3" t="s">
        <v>23</v>
      </c>
      <c r="C55" s="60" t="e">
        <f>SUM(C34:C53)</f>
        <v>#DIV/0!</v>
      </c>
      <c r="D55" s="60" t="e">
        <f>SUM(D34:D53)</f>
        <v>#DIV/0!</v>
      </c>
      <c r="E55" s="60" t="e">
        <f>+D55+C55</f>
        <v>#DIV/0!</v>
      </c>
      <c r="G55" s="58" t="s">
        <v>43</v>
      </c>
      <c r="H55" s="59">
        <f>SUM(D34:D40)</f>
        <v>0</v>
      </c>
      <c r="I55" s="59" t="e">
        <f>SUM(D44:D53)</f>
        <v>#DIV/0!</v>
      </c>
      <c r="J55" s="59" t="e">
        <f>+I55+H55</f>
        <v>#DIV/0!</v>
      </c>
    </row>
    <row r="56" spans="1:13">
      <c r="G56" s="58" t="s">
        <v>44</v>
      </c>
      <c r="H56" s="59">
        <f>+H54+H55</f>
        <v>0</v>
      </c>
      <c r="I56" s="59" t="e">
        <f>+I54+I55</f>
        <v>#DIV/0!</v>
      </c>
      <c r="J56" s="59" t="e">
        <f>+I56+H56</f>
        <v>#DIV/0!</v>
      </c>
    </row>
    <row r="57" spans="1:13">
      <c r="G57" s="57"/>
      <c r="H57" s="59"/>
      <c r="I57" s="59"/>
      <c r="J57" s="59"/>
    </row>
    <row r="58" spans="1:13">
      <c r="G58" s="57"/>
      <c r="H58" s="58"/>
      <c r="I58" s="58"/>
      <c r="J58" s="59"/>
      <c r="K58" s="62"/>
    </row>
    <row r="59" spans="1:13">
      <c r="G59" s="57"/>
      <c r="H59" s="58"/>
      <c r="I59" s="58"/>
      <c r="J59" s="59"/>
      <c r="K59" s="62"/>
    </row>
    <row r="60" spans="1:13" s="601" customFormat="1" ht="15.75">
      <c r="A60" s="61" t="s">
        <v>926</v>
      </c>
      <c r="J60" s="602"/>
      <c r="K60" s="61" t="s">
        <v>927</v>
      </c>
    </row>
    <row r="61" spans="1:13" ht="18">
      <c r="A61" s="13"/>
    </row>
    <row r="62" spans="1:13">
      <c r="B62" s="603"/>
      <c r="C62" s="14" t="s">
        <v>38</v>
      </c>
      <c r="D62" s="14" t="s">
        <v>39</v>
      </c>
      <c r="K62" s="38"/>
      <c r="L62" s="38" t="s">
        <v>6</v>
      </c>
      <c r="M62" s="14" t="s">
        <v>39</v>
      </c>
    </row>
    <row r="63" spans="1:13">
      <c r="B63" s="38" t="str">
        <f>+Calculation!AD12</f>
        <v>Food waste</v>
      </c>
      <c r="C63" s="62">
        <f>+Calculation!AH12</f>
        <v>0</v>
      </c>
      <c r="K63" s="63" t="str">
        <f t="shared" ref="K63:K71" si="17">+B17</f>
        <v>Scattered</v>
      </c>
      <c r="L63" s="62">
        <f>+Calculation!AH41</f>
        <v>0</v>
      </c>
    </row>
    <row r="64" spans="1:13">
      <c r="B64" s="38" t="str">
        <f>+Calculation!AD13</f>
        <v>Garden and Park waste</v>
      </c>
      <c r="C64" s="62">
        <f>+Calculation!AH13</f>
        <v>0</v>
      </c>
      <c r="K64" s="63" t="str">
        <f t="shared" si="17"/>
        <v>Burned-open</v>
      </c>
      <c r="L64" s="62" t="e">
        <f>+Calculation!AH42</f>
        <v>#DIV/0!</v>
      </c>
    </row>
    <row r="65" spans="1:12">
      <c r="B65" s="38" t="str">
        <f>+Calculation!AD14</f>
        <v>Paper, cardboard</v>
      </c>
      <c r="C65" s="62">
        <f>+Calculation!AH14</f>
        <v>0</v>
      </c>
      <c r="K65" s="63" t="str">
        <f t="shared" si="17"/>
        <v>Wild dump</v>
      </c>
      <c r="L65" s="62" t="e">
        <f>+Calculation!AH43</f>
        <v>#DIV/0!</v>
      </c>
    </row>
    <row r="66" spans="1:12">
      <c r="B66" s="38" t="str">
        <f>+Calculation!AD15</f>
        <v>Plastics</v>
      </c>
      <c r="C66" s="62">
        <f>+Calculation!AH15</f>
        <v>0</v>
      </c>
      <c r="K66" s="63" t="str">
        <f t="shared" si="17"/>
        <v>Controlled landfill</v>
      </c>
      <c r="L66" s="62" t="e">
        <f>+Calculation!AH44</f>
        <v>#DIV/0!</v>
      </c>
    </row>
    <row r="67" spans="1:12">
      <c r="B67" s="38" t="str">
        <f>+Calculation!AD16</f>
        <v>Glass</v>
      </c>
      <c r="C67" s="62">
        <f>+Calculation!AH16</f>
        <v>0</v>
      </c>
      <c r="K67" s="63" t="str">
        <f t="shared" si="17"/>
        <v>Sanitary landfill</v>
      </c>
      <c r="L67" s="62" t="e">
        <f>+Calculation!AH45</f>
        <v>#DIV/0!</v>
      </c>
    </row>
    <row r="68" spans="1:12">
      <c r="B68" s="38" t="str">
        <f>+Calculation!AD17</f>
        <v>Ferrous Metals</v>
      </c>
      <c r="C68" s="62">
        <f>+Calculation!AH17</f>
        <v>0</v>
      </c>
      <c r="K68" s="63" t="str">
        <f t="shared" si="17"/>
        <v>BS/landfill</v>
      </c>
      <c r="L68" s="62" t="e">
        <f>+Calculation!AH46</f>
        <v>#DIV/0!</v>
      </c>
    </row>
    <row r="69" spans="1:12">
      <c r="B69" s="38" t="str">
        <f>+Calculation!AD18</f>
        <v>Aluminium</v>
      </c>
      <c r="C69" s="62">
        <f>+Calculation!AH18</f>
        <v>0</v>
      </c>
      <c r="K69" s="63" t="str">
        <f t="shared" si="17"/>
        <v>MBTaerobic/treatm</v>
      </c>
      <c r="L69" s="62">
        <f>+Calculation!AH47</f>
        <v>0</v>
      </c>
    </row>
    <row r="70" spans="1:12">
      <c r="A70" s="62"/>
      <c r="B70" s="38"/>
      <c r="C70" s="62"/>
      <c r="K70" s="63" t="str">
        <f t="shared" si="17"/>
        <v>MBTanaerobic/treatm</v>
      </c>
      <c r="L70" s="62">
        <f>+Calculation!AH48</f>
        <v>0</v>
      </c>
    </row>
    <row r="71" spans="1:12">
      <c r="B71" s="64" t="s">
        <v>40</v>
      </c>
      <c r="D71" s="62"/>
      <c r="K71" s="63" t="str">
        <f t="shared" si="17"/>
        <v>MBS/treatm</v>
      </c>
      <c r="L71" s="62">
        <f>+Calculation!AH49</f>
        <v>0</v>
      </c>
    </row>
    <row r="72" spans="1:12">
      <c r="B72" s="63" t="str">
        <f>+Calculation!AD20</f>
        <v>Food waste</v>
      </c>
      <c r="C72" s="62">
        <f>+Calculation!AH20</f>
        <v>0</v>
      </c>
      <c r="K72" s="65" t="s">
        <v>27</v>
      </c>
      <c r="L72" s="62" t="e">
        <f>+Calculation!AH50</f>
        <v>#DIV/0!</v>
      </c>
    </row>
    <row r="73" spans="1:12">
      <c r="B73" s="63" t="str">
        <f>+Calculation!AD21</f>
        <v>Garden and Park waste</v>
      </c>
      <c r="C73" s="62">
        <f>+Calculation!AH21</f>
        <v>0</v>
      </c>
      <c r="K73" s="66" t="s">
        <v>40</v>
      </c>
    </row>
    <row r="74" spans="1:12">
      <c r="B74" s="63" t="str">
        <f>+Calculation!AD22</f>
        <v>Paper, cardboard</v>
      </c>
      <c r="C74" s="62">
        <f>+Calculation!AH22</f>
        <v>0</v>
      </c>
      <c r="K74" s="67" t="str">
        <f>+K63</f>
        <v>Scattered</v>
      </c>
      <c r="L74" s="63">
        <f>+Calculation!AH52</f>
        <v>0</v>
      </c>
    </row>
    <row r="75" spans="1:12">
      <c r="B75" s="63" t="str">
        <f>+Calculation!AD23</f>
        <v>Plastics</v>
      </c>
      <c r="C75" s="62">
        <f>+Calculation!AH23</f>
        <v>0</v>
      </c>
      <c r="K75" s="67" t="str">
        <f t="shared" ref="K75:K82" si="18">+K64</f>
        <v>Burned-open</v>
      </c>
      <c r="L75" s="63">
        <f>+Calculation!AH53</f>
        <v>0</v>
      </c>
    </row>
    <row r="76" spans="1:12">
      <c r="B76" s="63" t="str">
        <f>+Calculation!AD24</f>
        <v>Glass</v>
      </c>
      <c r="C76" s="62">
        <f>+Calculation!AH24</f>
        <v>0</v>
      </c>
      <c r="K76" s="67" t="str">
        <f t="shared" si="18"/>
        <v>Wild dump</v>
      </c>
      <c r="L76" s="63">
        <f>+Calculation!AH54</f>
        <v>0</v>
      </c>
    </row>
    <row r="77" spans="1:12">
      <c r="B77" s="63" t="str">
        <f>+Calculation!AD25</f>
        <v>Ferrous Metals</v>
      </c>
      <c r="C77" s="62">
        <f>+Calculation!AH25</f>
        <v>0</v>
      </c>
      <c r="K77" s="67" t="str">
        <f t="shared" si="18"/>
        <v>Controlled landfill</v>
      </c>
      <c r="L77" s="63">
        <f>+Calculation!AH55</f>
        <v>0</v>
      </c>
    </row>
    <row r="78" spans="1:12">
      <c r="B78" s="63" t="str">
        <f>+Calculation!AD26</f>
        <v>Aluminium</v>
      </c>
      <c r="C78" s="62">
        <f>+Calculation!AH26</f>
        <v>0</v>
      </c>
      <c r="K78" s="67" t="str">
        <f t="shared" si="18"/>
        <v>Sanitary landfill</v>
      </c>
      <c r="L78" s="63" t="e">
        <f>+Calculation!AH56</f>
        <v>#DIV/0!</v>
      </c>
    </row>
    <row r="79" spans="1:12">
      <c r="B79" s="63"/>
      <c r="C79" s="62"/>
      <c r="K79" s="67" t="str">
        <f t="shared" si="18"/>
        <v>BS/landfill</v>
      </c>
      <c r="L79" s="63">
        <f>+Calculation!AH57</f>
        <v>0</v>
      </c>
    </row>
    <row r="80" spans="1:12">
      <c r="B80" s="64" t="s">
        <v>41</v>
      </c>
      <c r="D80" s="62"/>
      <c r="K80" s="67" t="str">
        <f t="shared" si="18"/>
        <v>MBTaerobic/treatm</v>
      </c>
      <c r="L80" s="63">
        <f>+Calculation!AH58</f>
        <v>0</v>
      </c>
    </row>
    <row r="81" spans="1:13">
      <c r="B81" s="64" t="s">
        <v>39</v>
      </c>
      <c r="D81" s="68">
        <f>SUM(C63:C70,C72:C79)</f>
        <v>0</v>
      </c>
      <c r="K81" s="67" t="str">
        <f t="shared" si="18"/>
        <v>MBTanaerobic/treatm</v>
      </c>
      <c r="L81" s="63">
        <f>+Calculation!AH59</f>
        <v>0</v>
      </c>
    </row>
    <row r="82" spans="1:13">
      <c r="K82" s="67" t="str">
        <f t="shared" si="18"/>
        <v>MBS/treatm</v>
      </c>
      <c r="L82" s="63">
        <f>+Calculation!AH60</f>
        <v>0</v>
      </c>
    </row>
    <row r="83" spans="1:13">
      <c r="E83" s="299"/>
      <c r="K83" s="67" t="str">
        <f>+K72</f>
        <v>Incineration</v>
      </c>
      <c r="L83" s="63" t="e">
        <f>+Calculation!AH61</f>
        <v>#DIV/0!</v>
      </c>
    </row>
    <row r="84" spans="1:13">
      <c r="K84" s="66" t="s">
        <v>41</v>
      </c>
    </row>
    <row r="85" spans="1:13">
      <c r="K85" s="64" t="s">
        <v>39</v>
      </c>
      <c r="M85" s="68" t="e">
        <f>SUM(L63:L72,L74:L83)</f>
        <v>#DIV/0!</v>
      </c>
    </row>
    <row r="87" spans="1:13" s="595" customFormat="1" ht="18">
      <c r="A87" s="40" t="s">
        <v>12</v>
      </c>
    </row>
    <row r="89" spans="1:13" ht="13.5" thickBot="1"/>
    <row r="90" spans="1:13" ht="13.5" thickBot="1">
      <c r="B90" s="69"/>
      <c r="C90" s="604"/>
      <c r="D90" s="54" t="str">
        <f>+Calculation!AK3</f>
        <v>Euro/yr</v>
      </c>
    </row>
    <row r="91" spans="1:13" ht="13.5" thickBot="1">
      <c r="B91" s="69" t="str">
        <f>+Calculation!AJ4</f>
        <v>Recycled dry waste</v>
      </c>
      <c r="C91" s="604"/>
      <c r="D91" s="53">
        <f>+Calculation!AN4</f>
        <v>0</v>
      </c>
    </row>
    <row r="92" spans="1:13" ht="13.5" thickBot="1">
      <c r="B92" s="69" t="str">
        <f>+Calculation!AJ5</f>
        <v>Composted organic waste</v>
      </c>
      <c r="C92" s="604"/>
      <c r="D92" s="53">
        <f>+Calculation!AN5</f>
        <v>0</v>
      </c>
    </row>
    <row r="93" spans="1:13" ht="13.5" thickBot="1">
      <c r="B93" s="69" t="str">
        <f>+Calculation!AJ6</f>
        <v>Digested organic waste</v>
      </c>
      <c r="C93" s="604"/>
      <c r="D93" s="53">
        <f>+Calculation!AN6</f>
        <v>0</v>
      </c>
    </row>
    <row r="94" spans="1:13" ht="13.5" thickBot="1">
      <c r="B94" s="69" t="str">
        <f>+Calculation!AJ7</f>
        <v>Residual waste to controlled dump/landfill without gas collection</v>
      </c>
      <c r="C94" s="604"/>
      <c r="D94" s="53">
        <f>+Calculation!AN7</f>
        <v>0</v>
      </c>
    </row>
    <row r="95" spans="1:13" ht="13.5" thickBot="1">
      <c r="B95" s="69" t="str">
        <f>+Calculation!AJ8</f>
        <v>Residual waste to sanitary landfill with gas collection</v>
      </c>
      <c r="C95" s="604"/>
      <c r="D95" s="53">
        <f>+Calculation!AN8</f>
        <v>0</v>
      </c>
    </row>
    <row r="96" spans="1:13" ht="13.5" thickBot="1">
      <c r="B96" s="69" t="str">
        <f>+Calculation!AJ9</f>
        <v>Residual waste to BS/landfill</v>
      </c>
      <c r="C96" s="604"/>
      <c r="D96" s="53">
        <f>+Calculation!AN9</f>
        <v>0</v>
      </c>
    </row>
    <row r="97" spans="1:4" ht="13.5" thickBot="1">
      <c r="B97" s="69" t="str">
        <f>+Calculation!AJ10</f>
        <v>Residual waste to MBT aerobic + further treatment</v>
      </c>
      <c r="C97" s="604"/>
      <c r="D97" s="53">
        <f>+Calculation!AN10</f>
        <v>0</v>
      </c>
    </row>
    <row r="98" spans="1:4" ht="13.5" thickBot="1">
      <c r="B98" s="69" t="str">
        <f>+Calculation!AJ11</f>
        <v>Residual waste to MBT anaerobic + further treatment</v>
      </c>
      <c r="C98" s="604"/>
      <c r="D98" s="53">
        <f>+Calculation!AN11</f>
        <v>0</v>
      </c>
    </row>
    <row r="99" spans="1:4" ht="13.5" thickBot="1">
      <c r="B99" s="69" t="str">
        <f>+Calculation!AJ12</f>
        <v>Residual waste to MBS + further treatment</v>
      </c>
      <c r="C99" s="604"/>
      <c r="D99" s="53">
        <f>+Calculation!AN12</f>
        <v>0</v>
      </c>
    </row>
    <row r="100" spans="1:4" ht="13.5" thickBot="1">
      <c r="B100" s="69" t="str">
        <f>+Calculation!AJ13</f>
        <v>Residual waste to MSWI</v>
      </c>
      <c r="C100" s="604"/>
      <c r="D100" s="53">
        <f>+Calculation!AN13</f>
        <v>0</v>
      </c>
    </row>
    <row r="101" spans="1:4" ht="13.5" thickBot="1">
      <c r="B101" s="70" t="str">
        <f>+Calculation!AJ14</f>
        <v>Total</v>
      </c>
      <c r="C101" s="604"/>
      <c r="D101" s="60">
        <f>SUM(D91:D100)</f>
        <v>0</v>
      </c>
    </row>
    <row r="104" spans="1:4" ht="18">
      <c r="A104" s="71" t="s">
        <v>928</v>
      </c>
    </row>
    <row r="105" spans="1:4" ht="16.5" thickBot="1">
      <c r="D105" s="75"/>
    </row>
    <row r="106" spans="1:4" ht="13.5" thickBot="1">
      <c r="B106" s="69" t="s">
        <v>133</v>
      </c>
      <c r="C106" s="604"/>
      <c r="D106" s="53" t="e">
        <f>+E55</f>
        <v>#DIV/0!</v>
      </c>
    </row>
    <row r="107" spans="1:4" ht="13.5" thickBot="1">
      <c r="B107" s="69" t="s">
        <v>180</v>
      </c>
      <c r="C107" s="604"/>
      <c r="D107" s="53">
        <f>+D101</f>
        <v>0</v>
      </c>
    </row>
    <row r="108" spans="1:4" ht="13.5" thickBot="1">
      <c r="B108" s="69" t="s">
        <v>181</v>
      </c>
      <c r="C108" s="604"/>
      <c r="D108" s="72" t="e">
        <f>+D107/D106</f>
        <v>#DIV/0!</v>
      </c>
    </row>
  </sheetData>
  <sheetProtection password="AAA9" sheet="1"/>
  <mergeCells count="2">
    <mergeCell ref="O5:P5"/>
    <mergeCell ref="O6:P6"/>
  </mergeCells>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K54"/>
  <sheetViews>
    <sheetView zoomScaleNormal="100" workbookViewId="0"/>
  </sheetViews>
  <sheetFormatPr baseColWidth="10" defaultColWidth="11.5703125" defaultRowHeight="12.75"/>
  <cols>
    <col min="1" max="1" width="19.5703125" style="14" customWidth="1"/>
    <col min="2" max="2" width="24.28515625" style="14" customWidth="1"/>
    <col min="3" max="6" width="13.42578125" style="14" bestFit="1" customWidth="1"/>
    <col min="7" max="16384" width="11.5703125" style="14"/>
  </cols>
  <sheetData>
    <row r="1" spans="1:11" s="595" customFormat="1" ht="18">
      <c r="A1" s="40" t="s">
        <v>131</v>
      </c>
    </row>
    <row r="2" spans="1:11" ht="13.9" customHeight="1">
      <c r="A2" s="13"/>
      <c r="C2" s="75" t="str">
        <f>+Recycling!E9</f>
        <v>Status Quo</v>
      </c>
      <c r="D2" s="75" t="str">
        <f>+Recycling!G9</f>
        <v>Scenario 1</v>
      </c>
      <c r="E2" s="75" t="str">
        <f>+Recycling!H9</f>
        <v>Scenario 2</v>
      </c>
      <c r="F2" s="75" t="str">
        <f>+Recycling!I9</f>
        <v>Scenario 3</v>
      </c>
    </row>
    <row r="3" spans="1:11">
      <c r="B3" s="41" t="s">
        <v>7</v>
      </c>
      <c r="C3" s="42">
        <f>+Calculation!M39</f>
        <v>0</v>
      </c>
      <c r="D3" s="42">
        <f>+Calculation!N39</f>
        <v>0</v>
      </c>
      <c r="E3" s="42">
        <f>+Calculation!O39</f>
        <v>0</v>
      </c>
      <c r="F3" s="42">
        <f>+Calculation!P39</f>
        <v>0</v>
      </c>
    </row>
    <row r="4" spans="1:11">
      <c r="B4" s="22"/>
      <c r="C4" s="22"/>
      <c r="D4" s="22"/>
      <c r="E4" s="22"/>
      <c r="F4" s="22"/>
    </row>
    <row r="5" spans="1:11">
      <c r="B5" s="41" t="s">
        <v>4</v>
      </c>
      <c r="C5" s="42">
        <f>+Calculation!M14</f>
        <v>0</v>
      </c>
      <c r="D5" s="42">
        <f>+Calculation!N14</f>
        <v>0</v>
      </c>
      <c r="E5" s="42">
        <f>+Calculation!O14</f>
        <v>0</v>
      </c>
      <c r="F5" s="42">
        <f>+Calculation!P14</f>
        <v>0</v>
      </c>
      <c r="K5" s="299"/>
    </row>
    <row r="6" spans="1:11">
      <c r="B6" s="22" t="s">
        <v>5</v>
      </c>
      <c r="C6" s="22"/>
      <c r="D6" s="22"/>
      <c r="E6" s="22"/>
      <c r="F6" s="22"/>
    </row>
    <row r="7" spans="1:11">
      <c r="B7" s="1" t="s">
        <v>90</v>
      </c>
      <c r="C7" s="42">
        <f>+Calculation!M7</f>
        <v>0</v>
      </c>
      <c r="D7" s="42">
        <f>+Calculation!N7</f>
        <v>0</v>
      </c>
      <c r="E7" s="42">
        <f>+Calculation!O7</f>
        <v>0</v>
      </c>
      <c r="F7" s="42">
        <f>+Calculation!P7</f>
        <v>0</v>
      </c>
    </row>
    <row r="8" spans="1:11">
      <c r="B8" s="1" t="s">
        <v>173</v>
      </c>
      <c r="C8" s="42">
        <f>+Calculation!M8</f>
        <v>0</v>
      </c>
      <c r="D8" s="42">
        <f>+Calculation!N8</f>
        <v>0</v>
      </c>
      <c r="E8" s="42">
        <f>+Calculation!O8</f>
        <v>0</v>
      </c>
      <c r="F8" s="42">
        <f>+Calculation!P8</f>
        <v>0</v>
      </c>
    </row>
    <row r="9" spans="1:11">
      <c r="B9" s="1" t="s">
        <v>20</v>
      </c>
      <c r="C9" s="42">
        <f>+Calculation!M9</f>
        <v>0</v>
      </c>
      <c r="D9" s="42">
        <f>+Calculation!N9</f>
        <v>0</v>
      </c>
      <c r="E9" s="42">
        <f>+Calculation!O9</f>
        <v>0</v>
      </c>
      <c r="F9" s="42">
        <f>+Calculation!P9</f>
        <v>0</v>
      </c>
    </row>
    <row r="10" spans="1:11">
      <c r="B10" s="1" t="s">
        <v>21</v>
      </c>
      <c r="C10" s="42">
        <f>+Calculation!M10</f>
        <v>0</v>
      </c>
      <c r="D10" s="42">
        <f>+Calculation!N10</f>
        <v>0</v>
      </c>
      <c r="E10" s="42">
        <f>+Calculation!O10</f>
        <v>0</v>
      </c>
      <c r="F10" s="42">
        <f>+Calculation!P10</f>
        <v>0</v>
      </c>
    </row>
    <row r="11" spans="1:11">
      <c r="B11" s="1" t="s">
        <v>22</v>
      </c>
      <c r="C11" s="42">
        <f>+Calculation!M11</f>
        <v>0</v>
      </c>
      <c r="D11" s="42">
        <f>+Calculation!N11</f>
        <v>0</v>
      </c>
      <c r="E11" s="42">
        <f>+Calculation!O11</f>
        <v>0</v>
      </c>
      <c r="F11" s="42">
        <f>+Calculation!P11</f>
        <v>0</v>
      </c>
    </row>
    <row r="12" spans="1:11">
      <c r="B12" s="1" t="s">
        <v>143</v>
      </c>
      <c r="C12" s="42">
        <f>+Calculation!M12</f>
        <v>0</v>
      </c>
      <c r="D12" s="42">
        <f>+Calculation!N12</f>
        <v>0</v>
      </c>
      <c r="E12" s="42">
        <f>+Calculation!O12</f>
        <v>0</v>
      </c>
      <c r="F12" s="42">
        <f>+Calculation!P12</f>
        <v>0</v>
      </c>
    </row>
    <row r="13" spans="1:11">
      <c r="B13" s="1" t="s">
        <v>94</v>
      </c>
      <c r="C13" s="42">
        <f>+Calculation!M13</f>
        <v>0</v>
      </c>
      <c r="D13" s="42">
        <f>+Calculation!N13</f>
        <v>0</v>
      </c>
      <c r="E13" s="42">
        <f>+Calculation!O13</f>
        <v>0</v>
      </c>
      <c r="F13" s="42">
        <f>+Calculation!P13</f>
        <v>0</v>
      </c>
    </row>
    <row r="14" spans="1:11">
      <c r="B14" s="22"/>
      <c r="C14" s="22"/>
      <c r="D14" s="22"/>
      <c r="E14" s="22"/>
      <c r="F14" s="22"/>
    </row>
    <row r="15" spans="1:11">
      <c r="B15" s="4" t="s">
        <v>6</v>
      </c>
      <c r="C15" s="42">
        <f>+Calculation!M38</f>
        <v>0</v>
      </c>
      <c r="D15" s="42">
        <f>+Calculation!N38</f>
        <v>0</v>
      </c>
      <c r="E15" s="42">
        <f>+Calculation!O38</f>
        <v>0</v>
      </c>
      <c r="F15" s="42">
        <f>+Calculation!P38</f>
        <v>0</v>
      </c>
    </row>
    <row r="16" spans="1:11" ht="15.75">
      <c r="B16" s="22" t="s">
        <v>5</v>
      </c>
      <c r="C16" s="22"/>
      <c r="D16" s="22"/>
      <c r="E16" s="22"/>
      <c r="F16" s="22"/>
      <c r="K16" s="608"/>
    </row>
    <row r="17" spans="1:8">
      <c r="B17" s="50" t="s">
        <v>174</v>
      </c>
      <c r="C17" s="42">
        <f>+Calculation!M28</f>
        <v>0</v>
      </c>
      <c r="D17" s="42">
        <f>+Calculation!N28</f>
        <v>0</v>
      </c>
      <c r="E17" s="42">
        <f>+Calculation!O28</f>
        <v>0</v>
      </c>
      <c r="F17" s="42">
        <f>+Calculation!P28</f>
        <v>0</v>
      </c>
    </row>
    <row r="18" spans="1:8">
      <c r="B18" s="50" t="s">
        <v>175</v>
      </c>
      <c r="C18" s="42">
        <f>+Calculation!M29</f>
        <v>0</v>
      </c>
      <c r="D18" s="42">
        <f>+Calculation!N29</f>
        <v>0</v>
      </c>
      <c r="E18" s="42">
        <f>+Calculation!O29</f>
        <v>0</v>
      </c>
      <c r="F18" s="42">
        <f>+Calculation!P29</f>
        <v>0</v>
      </c>
    </row>
    <row r="19" spans="1:8">
      <c r="B19" s="50" t="s">
        <v>170</v>
      </c>
      <c r="C19" s="42">
        <f>+Calculation!M30</f>
        <v>0</v>
      </c>
      <c r="D19" s="42">
        <f>+Calculation!N30</f>
        <v>0</v>
      </c>
      <c r="E19" s="42">
        <f>+Calculation!O30</f>
        <v>0</v>
      </c>
      <c r="F19" s="42">
        <f>+Calculation!P30</f>
        <v>0</v>
      </c>
    </row>
    <row r="20" spans="1:8">
      <c r="B20" s="50" t="s">
        <v>176</v>
      </c>
      <c r="C20" s="42">
        <f>+Calculation!M31</f>
        <v>0</v>
      </c>
      <c r="D20" s="42">
        <f>+Calculation!N31</f>
        <v>0</v>
      </c>
      <c r="E20" s="42">
        <f>+Calculation!O31</f>
        <v>0</v>
      </c>
      <c r="F20" s="42">
        <f>+Calculation!P31</f>
        <v>0</v>
      </c>
    </row>
    <row r="21" spans="1:8">
      <c r="B21" s="51" t="s">
        <v>177</v>
      </c>
      <c r="C21" s="42">
        <f>+Calculation!M32</f>
        <v>0</v>
      </c>
      <c r="D21" s="42">
        <f>+Calculation!N32</f>
        <v>0</v>
      </c>
      <c r="E21" s="42">
        <f>+Calculation!O32</f>
        <v>0</v>
      </c>
      <c r="F21" s="42">
        <f>+Calculation!P32</f>
        <v>0</v>
      </c>
    </row>
    <row r="22" spans="1:8">
      <c r="B22" s="1" t="s">
        <v>86</v>
      </c>
      <c r="C22" s="52">
        <f>+Calculation!M33</f>
        <v>0</v>
      </c>
      <c r="D22" s="42">
        <f>+Calculation!N33</f>
        <v>0</v>
      </c>
      <c r="E22" s="42">
        <f>+Calculation!O33</f>
        <v>0</v>
      </c>
      <c r="F22" s="42">
        <f>+Calculation!P33</f>
        <v>0</v>
      </c>
    </row>
    <row r="23" spans="1:8">
      <c r="B23" s="188" t="s">
        <v>649</v>
      </c>
      <c r="C23" s="42">
        <f>+Calculation!M34</f>
        <v>0</v>
      </c>
      <c r="D23" s="42">
        <f>+Calculation!N34</f>
        <v>0</v>
      </c>
      <c r="E23" s="42">
        <f>+Calculation!O34</f>
        <v>0</v>
      </c>
      <c r="F23" s="42">
        <f>+Calculation!P34</f>
        <v>0</v>
      </c>
    </row>
    <row r="24" spans="1:8">
      <c r="B24" s="188" t="s">
        <v>650</v>
      </c>
      <c r="C24" s="42">
        <f>+Calculation!M35</f>
        <v>0</v>
      </c>
      <c r="D24" s="42">
        <f>+Calculation!N35</f>
        <v>0</v>
      </c>
      <c r="E24" s="42">
        <f>+Calculation!O35</f>
        <v>0</v>
      </c>
      <c r="F24" s="42">
        <f>+Calculation!P35</f>
        <v>0</v>
      </c>
    </row>
    <row r="25" spans="1:8">
      <c r="B25" s="189" t="s">
        <v>844</v>
      </c>
      <c r="C25" s="42">
        <f>+Calculation!M36</f>
        <v>0</v>
      </c>
      <c r="D25" s="42">
        <f>+Calculation!N36</f>
        <v>0</v>
      </c>
      <c r="E25" s="42">
        <f>+Calculation!O36</f>
        <v>0</v>
      </c>
      <c r="F25" s="42">
        <f>+Calculation!P36</f>
        <v>0</v>
      </c>
    </row>
    <row r="26" spans="1:8">
      <c r="B26" s="1" t="s">
        <v>27</v>
      </c>
      <c r="C26" s="42">
        <f>+Calculation!M37</f>
        <v>0</v>
      </c>
      <c r="D26" s="42">
        <f>+Calculation!N37</f>
        <v>0</v>
      </c>
      <c r="E26" s="42">
        <f>+Calculation!O37</f>
        <v>0</v>
      </c>
      <c r="F26" s="42">
        <f>+Calculation!P37</f>
        <v>0</v>
      </c>
    </row>
    <row r="28" spans="1:8">
      <c r="C28" s="62"/>
    </row>
    <row r="29" spans="1:8" s="595" customFormat="1" ht="18">
      <c r="A29" s="40" t="s">
        <v>925</v>
      </c>
      <c r="B29" s="600"/>
    </row>
    <row r="31" spans="1:8" ht="15.75">
      <c r="C31" s="75" t="str">
        <f>+C2</f>
        <v>Status Quo</v>
      </c>
      <c r="D31" s="75" t="str">
        <f>+D2</f>
        <v>Scenario 1</v>
      </c>
      <c r="E31" s="75" t="str">
        <f>+E2</f>
        <v>Scenario 2</v>
      </c>
      <c r="F31" s="75" t="str">
        <f>+F2</f>
        <v>Scenario 3</v>
      </c>
    </row>
    <row r="32" spans="1:8" ht="15.75">
      <c r="A32" s="76" t="s">
        <v>38</v>
      </c>
      <c r="B32" s="28" t="s">
        <v>42</v>
      </c>
      <c r="C32" s="62">
        <f>+'LCA SQ'!H54</f>
        <v>0</v>
      </c>
      <c r="D32" s="62">
        <f>+'LCA Sc1'!H54</f>
        <v>0</v>
      </c>
      <c r="E32" s="62">
        <f>+'LCA Sc2'!H54</f>
        <v>0</v>
      </c>
      <c r="F32" s="62">
        <f>+'LCA Sc3'!H54</f>
        <v>0</v>
      </c>
      <c r="H32" s="75"/>
    </row>
    <row r="33" spans="1:6">
      <c r="B33" s="28" t="s">
        <v>43</v>
      </c>
      <c r="C33" s="62">
        <f>+'LCA SQ'!H55</f>
        <v>0</v>
      </c>
      <c r="D33" s="62">
        <f>+'LCA Sc1'!H55</f>
        <v>0</v>
      </c>
      <c r="E33" s="62">
        <f>+'LCA Sc2'!H55</f>
        <v>0</v>
      </c>
      <c r="F33" s="62">
        <f>+'LCA Sc3'!H55</f>
        <v>0</v>
      </c>
    </row>
    <row r="34" spans="1:6">
      <c r="A34" s="76" t="s">
        <v>6</v>
      </c>
      <c r="B34" s="28" t="s">
        <v>42</v>
      </c>
      <c r="C34" s="62" t="e">
        <f>+'LCA SQ'!I54</f>
        <v>#DIV/0!</v>
      </c>
      <c r="D34" s="62" t="e">
        <f>+'LCA Sc1'!I54</f>
        <v>#DIV/0!</v>
      </c>
      <c r="E34" s="62" t="e">
        <f>+'LCA Sc2'!I54</f>
        <v>#DIV/0!</v>
      </c>
      <c r="F34" s="62" t="e">
        <f>+'LCA Sc3'!I54</f>
        <v>#DIV/0!</v>
      </c>
    </row>
    <row r="35" spans="1:6">
      <c r="B35" s="28" t="s">
        <v>43</v>
      </c>
      <c r="C35" s="62" t="e">
        <f>+'LCA SQ'!I55</f>
        <v>#DIV/0!</v>
      </c>
      <c r="D35" s="62" t="e">
        <f>+'LCA Sc1'!I55</f>
        <v>#DIV/0!</v>
      </c>
      <c r="E35" s="62" t="e">
        <f>+'LCA Sc2'!I55</f>
        <v>#DIV/0!</v>
      </c>
      <c r="F35" s="62" t="e">
        <f>+'LCA Sc3'!I55</f>
        <v>#DIV/0!</v>
      </c>
    </row>
    <row r="36" spans="1:6">
      <c r="A36" s="76" t="s">
        <v>45</v>
      </c>
      <c r="B36" s="28" t="s">
        <v>42</v>
      </c>
      <c r="C36" s="62" t="e">
        <f t="shared" ref="C36:F37" si="0">+C32+C34</f>
        <v>#DIV/0!</v>
      </c>
      <c r="D36" s="62" t="e">
        <f t="shared" si="0"/>
        <v>#DIV/0!</v>
      </c>
      <c r="E36" s="62" t="e">
        <f t="shared" si="0"/>
        <v>#DIV/0!</v>
      </c>
      <c r="F36" s="62" t="e">
        <f t="shared" si="0"/>
        <v>#DIV/0!</v>
      </c>
    </row>
    <row r="37" spans="1:6">
      <c r="B37" s="28" t="s">
        <v>43</v>
      </c>
      <c r="C37" s="62" t="e">
        <f t="shared" si="0"/>
        <v>#DIV/0!</v>
      </c>
      <c r="D37" s="62" t="e">
        <f t="shared" si="0"/>
        <v>#DIV/0!</v>
      </c>
      <c r="E37" s="62" t="e">
        <f t="shared" si="0"/>
        <v>#DIV/0!</v>
      </c>
      <c r="F37" s="62" t="e">
        <f t="shared" si="0"/>
        <v>#DIV/0!</v>
      </c>
    </row>
    <row r="38" spans="1:6">
      <c r="B38" s="28" t="s">
        <v>44</v>
      </c>
      <c r="C38" s="62" t="e">
        <f>+C36+C37</f>
        <v>#DIV/0!</v>
      </c>
      <c r="D38" s="62" t="e">
        <f>+D36+D37</f>
        <v>#DIV/0!</v>
      </c>
      <c r="E38" s="62" t="e">
        <f>+E36+E37</f>
        <v>#DIV/0!</v>
      </c>
      <c r="F38" s="62" t="e">
        <f>+F36+F37</f>
        <v>#DIV/0!</v>
      </c>
    </row>
    <row r="40" spans="1:6">
      <c r="A40" s="720" t="s">
        <v>1037</v>
      </c>
      <c r="B40" s="718"/>
      <c r="C40" s="719"/>
      <c r="D40" s="721" t="e">
        <f>D38-C38</f>
        <v>#DIV/0!</v>
      </c>
      <c r="E40" s="721" t="e">
        <f>E38-C38</f>
        <v>#DIV/0!</v>
      </c>
      <c r="F40" s="721" t="e">
        <f>F38-C38</f>
        <v>#DIV/0!</v>
      </c>
    </row>
    <row r="41" spans="1:6">
      <c r="A41" s="722"/>
      <c r="B41" s="722"/>
      <c r="C41" s="722"/>
      <c r="D41" s="723" t="e">
        <f>+D40/$C$38</f>
        <v>#DIV/0!</v>
      </c>
      <c r="E41" s="723" t="e">
        <f t="shared" ref="E41:F41" si="1">+E40/$C$38</f>
        <v>#DIV/0!</v>
      </c>
      <c r="F41" s="723" t="e">
        <f t="shared" si="1"/>
        <v>#DIV/0!</v>
      </c>
    </row>
    <row r="53" spans="7:7">
      <c r="G53" s="38"/>
    </row>
    <row r="54" spans="7:7">
      <c r="G54" s="38"/>
    </row>
  </sheetData>
  <sheetProtection password="AAA9" sheet="1"/>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E28"/>
  <sheetViews>
    <sheetView workbookViewId="0"/>
  </sheetViews>
  <sheetFormatPr baseColWidth="10" defaultColWidth="11.5703125" defaultRowHeight="12.75"/>
  <cols>
    <col min="1" max="1" width="54" style="14" customWidth="1"/>
    <col min="2" max="5" width="13.42578125" style="14" bestFit="1" customWidth="1"/>
    <col min="6" max="16384" width="11.5703125" style="14"/>
  </cols>
  <sheetData>
    <row r="1" spans="1:5" s="595" customFormat="1" ht="18">
      <c r="A1" s="40" t="s">
        <v>12</v>
      </c>
    </row>
    <row r="3" spans="1:5" ht="16.5" thickBot="1">
      <c r="B3" s="75" t="str">
        <f>+Recycling!E9</f>
        <v>Status Quo</v>
      </c>
      <c r="C3" s="75" t="str">
        <f>+Recycling!G9</f>
        <v>Scenario 1</v>
      </c>
      <c r="D3" s="75" t="str">
        <f>+Recycling!H9</f>
        <v>Scenario 2</v>
      </c>
      <c r="E3" s="75" t="str">
        <f>+Recycling!I9</f>
        <v>Scenario 3</v>
      </c>
    </row>
    <row r="4" spans="1:5" ht="13.5" thickBot="1">
      <c r="A4" s="69"/>
      <c r="B4" s="54" t="str">
        <f>+Calculation!AK3</f>
        <v>Euro/yr</v>
      </c>
      <c r="C4" s="54" t="str">
        <f>+Calculation!AL3</f>
        <v>Euro/yr</v>
      </c>
      <c r="D4" s="54" t="str">
        <f>+Calculation!AM3</f>
        <v>Euro/yr</v>
      </c>
      <c r="E4" s="54" t="str">
        <f>+Calculation!AN3</f>
        <v>Euro/yr</v>
      </c>
    </row>
    <row r="5" spans="1:5" ht="13.5" thickBot="1">
      <c r="A5" s="69" t="str">
        <f>+Calculation!AJ4</f>
        <v>Recycled dry waste</v>
      </c>
      <c r="B5" s="53">
        <f>+Calculation!$AK$4</f>
        <v>0</v>
      </c>
      <c r="C5" s="53">
        <f>+Calculation!$AL$4</f>
        <v>0</v>
      </c>
      <c r="D5" s="53">
        <f>+Calculation!$AM$4</f>
        <v>0</v>
      </c>
      <c r="E5" s="53">
        <f>+Calculation!$AN$4</f>
        <v>0</v>
      </c>
    </row>
    <row r="6" spans="1:5" ht="13.5" thickBot="1">
      <c r="A6" s="69" t="str">
        <f>+Calculation!AJ5</f>
        <v>Composted organic waste</v>
      </c>
      <c r="B6" s="53">
        <f>+Calculation!$AK$5</f>
        <v>0</v>
      </c>
      <c r="C6" s="53">
        <f>+Calculation!$AL$5</f>
        <v>0</v>
      </c>
      <c r="D6" s="53">
        <f>+Calculation!$AM$5</f>
        <v>0</v>
      </c>
      <c r="E6" s="53">
        <f>+Calculation!$AN$5</f>
        <v>0</v>
      </c>
    </row>
    <row r="7" spans="1:5" ht="13.5" thickBot="1">
      <c r="A7" s="69" t="str">
        <f>+Calculation!AJ6</f>
        <v>Digested organic waste</v>
      </c>
      <c r="B7" s="53">
        <f>+Calculation!$AK$6</f>
        <v>0</v>
      </c>
      <c r="C7" s="53">
        <f>+Calculation!$AL$6</f>
        <v>0</v>
      </c>
      <c r="D7" s="53">
        <f>+Calculation!$AM$6</f>
        <v>0</v>
      </c>
      <c r="E7" s="53">
        <f>+Calculation!$AN$6</f>
        <v>0</v>
      </c>
    </row>
    <row r="8" spans="1:5" ht="13.5" thickBot="1">
      <c r="A8" s="69" t="str">
        <f>+Calculation!AJ7</f>
        <v>Residual waste to controlled dump/landfill without gas collection</v>
      </c>
      <c r="B8" s="53">
        <f>+Calculation!$AK$7</f>
        <v>0</v>
      </c>
      <c r="C8" s="53">
        <f>+Calculation!$AL$7</f>
        <v>0</v>
      </c>
      <c r="D8" s="53">
        <f>+Calculation!$AM$7</f>
        <v>0</v>
      </c>
      <c r="E8" s="53">
        <f>+Calculation!$AN$7</f>
        <v>0</v>
      </c>
    </row>
    <row r="9" spans="1:5" ht="13.5" thickBot="1">
      <c r="A9" s="69" t="str">
        <f>+Calculation!AJ8</f>
        <v>Residual waste to sanitary landfill with gas collection</v>
      </c>
      <c r="B9" s="53">
        <f>+Calculation!$AK$8</f>
        <v>0</v>
      </c>
      <c r="C9" s="53">
        <f>+Calculation!$AL$8</f>
        <v>0</v>
      </c>
      <c r="D9" s="53">
        <f>+Calculation!$AM$8</f>
        <v>0</v>
      </c>
      <c r="E9" s="53">
        <f>+Calculation!$AN$8</f>
        <v>0</v>
      </c>
    </row>
    <row r="10" spans="1:5" ht="13.5" thickBot="1">
      <c r="A10" s="69" t="str">
        <f>+Calculation!AJ9</f>
        <v>Residual waste to BS/landfill</v>
      </c>
      <c r="B10" s="53">
        <f>+Calculation!$AK$9</f>
        <v>0</v>
      </c>
      <c r="C10" s="53">
        <f>+Calculation!$AL$9</f>
        <v>0</v>
      </c>
      <c r="D10" s="53">
        <f>+Calculation!$AM$9</f>
        <v>0</v>
      </c>
      <c r="E10" s="53">
        <f>+Calculation!$AN$9</f>
        <v>0</v>
      </c>
    </row>
    <row r="11" spans="1:5" ht="13.5" thickBot="1">
      <c r="A11" s="69" t="str">
        <f>+Calculation!AJ10</f>
        <v>Residual waste to MBT aerobic + further treatment</v>
      </c>
      <c r="B11" s="53">
        <f>+Calculation!$AK$10</f>
        <v>0</v>
      </c>
      <c r="C11" s="53">
        <f>+Calculation!$AL$10</f>
        <v>0</v>
      </c>
      <c r="D11" s="53">
        <f>+Calculation!$AM$10</f>
        <v>0</v>
      </c>
      <c r="E11" s="53">
        <f>+Calculation!$AN$10</f>
        <v>0</v>
      </c>
    </row>
    <row r="12" spans="1:5" ht="13.5" thickBot="1">
      <c r="A12" s="69" t="str">
        <f>+Calculation!AJ11</f>
        <v>Residual waste to MBT anaerobic + further treatment</v>
      </c>
      <c r="B12" s="53">
        <f>+Calculation!$AK$11</f>
        <v>0</v>
      </c>
      <c r="C12" s="53">
        <f>+Calculation!$AL$11</f>
        <v>0</v>
      </c>
      <c r="D12" s="53">
        <f>+Calculation!$AM$11</f>
        <v>0</v>
      </c>
      <c r="E12" s="53">
        <f>+Calculation!$AN$11</f>
        <v>0</v>
      </c>
    </row>
    <row r="13" spans="1:5" ht="13.5" thickBot="1">
      <c r="A13" s="69" t="str">
        <f>+Calculation!AJ12</f>
        <v>Residual waste to MBS + further treatment</v>
      </c>
      <c r="B13" s="53">
        <f>+Calculation!$AK$12</f>
        <v>0</v>
      </c>
      <c r="C13" s="53">
        <f>+Calculation!$AL$12</f>
        <v>0</v>
      </c>
      <c r="D13" s="53">
        <f>+Calculation!$AM$12</f>
        <v>0</v>
      </c>
      <c r="E13" s="53">
        <f>+Calculation!$AN$12</f>
        <v>0</v>
      </c>
    </row>
    <row r="14" spans="1:5" ht="13.5" thickBot="1">
      <c r="A14" s="69" t="str">
        <f>+Calculation!AJ13</f>
        <v>Residual waste to MSWI</v>
      </c>
      <c r="B14" s="53">
        <f>+Calculation!$AK$13</f>
        <v>0</v>
      </c>
      <c r="C14" s="53">
        <f>+Calculation!$AL$13</f>
        <v>0</v>
      </c>
      <c r="D14" s="53">
        <f>+Calculation!$AM$13</f>
        <v>0</v>
      </c>
      <c r="E14" s="53">
        <f>+Calculation!$AN$13</f>
        <v>0</v>
      </c>
    </row>
    <row r="15" spans="1:5" ht="13.5" thickBot="1">
      <c r="A15" s="70" t="str">
        <f>+Calculation!AJ14</f>
        <v>Total</v>
      </c>
      <c r="B15" s="60">
        <f>SUM(B5:B14)</f>
        <v>0</v>
      </c>
      <c r="C15" s="60">
        <f>SUM(C5:C14)</f>
        <v>0</v>
      </c>
      <c r="D15" s="60">
        <f>SUM(D5:D14)</f>
        <v>0</v>
      </c>
      <c r="E15" s="60">
        <f>SUM(E5:E14)</f>
        <v>0</v>
      </c>
    </row>
    <row r="18" spans="1:5" s="595" customFormat="1" ht="18">
      <c r="A18" s="40" t="s">
        <v>128</v>
      </c>
    </row>
    <row r="20" spans="1:5" ht="16.5" thickBot="1">
      <c r="B20" s="75" t="str">
        <f>+B3</f>
        <v>Status Quo</v>
      </c>
      <c r="C20" s="75" t="str">
        <f>+C3</f>
        <v>Scenario 1</v>
      </c>
      <c r="D20" s="75" t="str">
        <f>+D3</f>
        <v>Scenario 2</v>
      </c>
      <c r="E20" s="75" t="str">
        <f>+E3</f>
        <v>Scenario 3</v>
      </c>
    </row>
    <row r="21" spans="1:5" ht="13.5" thickBot="1">
      <c r="A21" s="69" t="s">
        <v>929</v>
      </c>
      <c r="B21" s="53" t="e">
        <f>+'LCA results all'!C38</f>
        <v>#DIV/0!</v>
      </c>
      <c r="C21" s="53" t="e">
        <f>+'LCA results all'!D38</f>
        <v>#DIV/0!</v>
      </c>
      <c r="D21" s="53" t="e">
        <f>+'LCA results all'!E38</f>
        <v>#DIV/0!</v>
      </c>
      <c r="E21" s="53" t="e">
        <f>+'LCA results all'!F38</f>
        <v>#DIV/0!</v>
      </c>
    </row>
    <row r="22" spans="1:5" ht="13.5" thickBot="1">
      <c r="A22" s="69" t="s">
        <v>180</v>
      </c>
      <c r="B22" s="53">
        <f>+B15</f>
        <v>0</v>
      </c>
      <c r="C22" s="53">
        <f>+C15</f>
        <v>0</v>
      </c>
      <c r="D22" s="53">
        <f>+D15</f>
        <v>0</v>
      </c>
      <c r="E22" s="53">
        <f>+E15</f>
        <v>0</v>
      </c>
    </row>
    <row r="23" spans="1:5" ht="13.5" thickBot="1">
      <c r="A23" s="69" t="s">
        <v>930</v>
      </c>
      <c r="B23" s="53">
        <v>0</v>
      </c>
      <c r="C23" s="53" t="e">
        <f>+C21-B21</f>
        <v>#DIV/0!</v>
      </c>
      <c r="D23" s="53" t="e">
        <f>+D21-B21</f>
        <v>#DIV/0!</v>
      </c>
      <c r="E23" s="53" t="e">
        <f>+E21-B21</f>
        <v>#DIV/0!</v>
      </c>
    </row>
    <row r="24" spans="1:5" ht="13.5" thickBot="1">
      <c r="A24" s="69" t="s">
        <v>182</v>
      </c>
      <c r="B24" s="53">
        <v>0</v>
      </c>
      <c r="C24" s="53">
        <f>+C22-B22</f>
        <v>0</v>
      </c>
      <c r="D24" s="53">
        <f>+D22-B22</f>
        <v>0</v>
      </c>
      <c r="E24" s="53">
        <f>+E22-B22</f>
        <v>0</v>
      </c>
    </row>
    <row r="25" spans="1:5">
      <c r="A25" s="77"/>
      <c r="B25" s="596"/>
      <c r="C25" s="596"/>
      <c r="D25" s="596"/>
      <c r="E25" s="596"/>
    </row>
    <row r="26" spans="1:5" s="77" customFormat="1">
      <c r="A26" s="77" t="s">
        <v>129</v>
      </c>
      <c r="B26" s="596"/>
      <c r="C26" s="596"/>
      <c r="D26" s="596"/>
      <c r="E26" s="596"/>
    </row>
    <row r="27" spans="1:5" s="77" customFormat="1" ht="13.5" thickBot="1">
      <c r="B27" s="596"/>
      <c r="C27" s="78" t="e">
        <f>IF(C23*C24&gt;0,0,1)</f>
        <v>#DIV/0!</v>
      </c>
      <c r="D27" s="78" t="e">
        <f>IF(D23*D24&gt;0,0,1)</f>
        <v>#DIV/0!</v>
      </c>
      <c r="E27" s="78" t="e">
        <f>IF(E23*E24&gt;0,0,1)</f>
        <v>#DIV/0!</v>
      </c>
    </row>
    <row r="28" spans="1:5" ht="13.5" thickBot="1">
      <c r="A28" s="70" t="s">
        <v>931</v>
      </c>
      <c r="B28" s="60" t="s">
        <v>130</v>
      </c>
      <c r="C28" s="60" t="e">
        <f>IF(C24&lt;0,0,(C27*C24/C23*(-1)))</f>
        <v>#DIV/0!</v>
      </c>
      <c r="D28" s="60" t="e">
        <f>IF(D24&lt;0,0,(D27*D24/D23*(-1)))</f>
        <v>#DIV/0!</v>
      </c>
      <c r="E28" s="60" t="e">
        <f>IF(E24&lt;0,0,(E27*E24/E23*(-1)))</f>
        <v>#DIV/0!</v>
      </c>
    </row>
  </sheetData>
  <sheetProtection password="AAA9" sheet="1" objects="1" scenarios="1"/>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4658-C85B-4740-B623-2B84037EBC44}">
  <dimension ref="A1:J29"/>
  <sheetViews>
    <sheetView workbookViewId="0"/>
  </sheetViews>
  <sheetFormatPr baseColWidth="10" defaultColWidth="11.42578125" defaultRowHeight="12.75"/>
  <cols>
    <col min="1" max="1" width="27.7109375" style="110" bestFit="1" customWidth="1"/>
    <col min="2" max="2" width="22.140625" style="110" customWidth="1"/>
    <col min="3" max="16384" width="11.42578125" style="110"/>
  </cols>
  <sheetData>
    <row r="1" spans="1:10" ht="18">
      <c r="A1" s="593" t="s">
        <v>669</v>
      </c>
    </row>
    <row r="3" spans="1:10">
      <c r="A3" s="594" t="s">
        <v>670</v>
      </c>
      <c r="B3" s="594" t="s">
        <v>671</v>
      </c>
    </row>
    <row r="4" spans="1:10">
      <c r="A4" s="110" t="s">
        <v>672</v>
      </c>
      <c r="B4" s="110" t="s">
        <v>673</v>
      </c>
    </row>
    <row r="5" spans="1:10">
      <c r="A5" s="110" t="s">
        <v>800</v>
      </c>
      <c r="B5" s="110" t="s">
        <v>1023</v>
      </c>
      <c r="J5" s="197"/>
    </row>
    <row r="6" spans="1:10">
      <c r="A6" s="110" t="s">
        <v>805</v>
      </c>
      <c r="B6" s="110" t="s">
        <v>680</v>
      </c>
    </row>
    <row r="7" spans="1:10">
      <c r="A7" s="110" t="s">
        <v>689</v>
      </c>
      <c r="B7" s="110" t="s">
        <v>853</v>
      </c>
    </row>
    <row r="8" spans="1:10">
      <c r="A8" s="110" t="s">
        <v>856</v>
      </c>
      <c r="B8" s="110" t="s">
        <v>857</v>
      </c>
    </row>
    <row r="9" spans="1:10">
      <c r="A9" s="110" t="s">
        <v>846</v>
      </c>
      <c r="B9" s="110" t="s">
        <v>855</v>
      </c>
    </row>
    <row r="10" spans="1:10">
      <c r="A10" s="110" t="s">
        <v>676</v>
      </c>
      <c r="B10" s="110" t="s">
        <v>677</v>
      </c>
    </row>
    <row r="11" spans="1:10">
      <c r="A11" s="110" t="s">
        <v>678</v>
      </c>
      <c r="B11" s="110" t="s">
        <v>679</v>
      </c>
    </row>
    <row r="12" spans="1:10">
      <c r="A12" s="464" t="s">
        <v>497</v>
      </c>
      <c r="B12" s="310" t="s">
        <v>854</v>
      </c>
      <c r="D12" s="198"/>
    </row>
    <row r="13" spans="1:10">
      <c r="A13" s="110" t="s">
        <v>687</v>
      </c>
      <c r="B13" s="110" t="s">
        <v>849</v>
      </c>
      <c r="J13" s="197"/>
    </row>
    <row r="14" spans="1:10">
      <c r="A14" s="694" t="s">
        <v>995</v>
      </c>
      <c r="B14" s="692" t="s">
        <v>210</v>
      </c>
      <c r="J14" s="197"/>
    </row>
    <row r="15" spans="1:10">
      <c r="A15" s="695" t="s">
        <v>996</v>
      </c>
      <c r="B15" s="693" t="s">
        <v>211</v>
      </c>
      <c r="J15" s="197"/>
    </row>
    <row r="16" spans="1:10">
      <c r="A16" s="110" t="s">
        <v>674</v>
      </c>
      <c r="B16" s="110" t="s">
        <v>848</v>
      </c>
      <c r="J16" s="197"/>
    </row>
    <row r="17" spans="1:7">
      <c r="A17" s="110" t="s">
        <v>847</v>
      </c>
      <c r="B17" s="110" t="s">
        <v>675</v>
      </c>
    </row>
    <row r="18" spans="1:7">
      <c r="A18" s="110" t="s">
        <v>1021</v>
      </c>
      <c r="B18" s="108" t="s">
        <v>1039</v>
      </c>
    </row>
    <row r="19" spans="1:7">
      <c r="A19" s="110" t="s">
        <v>681</v>
      </c>
      <c r="B19" s="110" t="s">
        <v>682</v>
      </c>
    </row>
    <row r="20" spans="1:7">
      <c r="A20" s="110" t="s">
        <v>815</v>
      </c>
      <c r="B20" s="110" t="s">
        <v>816</v>
      </c>
    </row>
    <row r="21" spans="1:7">
      <c r="A21" s="110" t="s">
        <v>683</v>
      </c>
      <c r="B21" s="110" t="s">
        <v>684</v>
      </c>
    </row>
    <row r="22" spans="1:7">
      <c r="A22" s="110" t="s">
        <v>685</v>
      </c>
      <c r="B22" s="110" t="s">
        <v>686</v>
      </c>
    </row>
    <row r="23" spans="1:7">
      <c r="A23" s="110" t="s">
        <v>1022</v>
      </c>
      <c r="B23" s="110" t="s">
        <v>1026</v>
      </c>
    </row>
    <row r="24" spans="1:7">
      <c r="A24" s="110" t="s">
        <v>1052</v>
      </c>
      <c r="B24" s="110" t="s">
        <v>1053</v>
      </c>
    </row>
    <row r="25" spans="1:7">
      <c r="A25" s="110" t="s">
        <v>850</v>
      </c>
      <c r="B25" s="110" t="s">
        <v>984</v>
      </c>
    </row>
    <row r="26" spans="1:7">
      <c r="A26" s="110" t="s">
        <v>1020</v>
      </c>
      <c r="B26" s="108" t="s">
        <v>1024</v>
      </c>
      <c r="G26" s="714"/>
    </row>
    <row r="29" spans="1:7">
      <c r="A29" s="193"/>
      <c r="B29" s="198"/>
    </row>
  </sheetData>
  <sheetProtection password="AAA9" sheet="1" objects="1" scenarios="1"/>
  <hyperlinks>
    <hyperlink ref="B15" r:id="rId1" xr:uid="{94DE38FA-E06D-4C5B-B0CC-E4A1CEF29711}"/>
    <hyperlink ref="B14" r:id="rId2" xr:uid="{CE12228F-514A-4E63-8DAD-9CF6B597986E}"/>
  </hyperlinks>
  <pageMargins left="0.7" right="0.7" top="0.78740157499999996" bottom="0.78740157499999996" header="0.3" footer="0.3"/>
  <pageSetup paperSize="9" orientation="portrait" horizontalDpi="4294967293"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B2:C39"/>
  <sheetViews>
    <sheetView zoomScaleNormal="100" workbookViewId="0"/>
  </sheetViews>
  <sheetFormatPr baseColWidth="10" defaultColWidth="11.5703125" defaultRowHeight="12.75"/>
  <cols>
    <col min="1" max="1" width="4.7109375" style="34" customWidth="1"/>
    <col min="2" max="2" width="20.42578125" style="34" customWidth="1"/>
    <col min="3" max="3" width="94" style="34" customWidth="1"/>
    <col min="4" max="16384" width="11.5703125" style="34"/>
  </cols>
  <sheetData>
    <row r="2" spans="2:3" ht="18">
      <c r="B2" s="13" t="s">
        <v>139</v>
      </c>
    </row>
    <row r="3" spans="2:3" ht="14.45" customHeight="1">
      <c r="B3" s="13"/>
    </row>
    <row r="4" spans="2:3" ht="38.25" customHeight="1">
      <c r="B4" s="729" t="s">
        <v>1002</v>
      </c>
      <c r="C4" s="729"/>
    </row>
    <row r="5" spans="2:3" ht="6" customHeight="1">
      <c r="B5" s="705"/>
      <c r="C5" s="705"/>
    </row>
    <row r="6" spans="2:3">
      <c r="B6" s="730" t="s">
        <v>1003</v>
      </c>
      <c r="C6" s="730"/>
    </row>
    <row r="8" spans="2:3">
      <c r="B8" s="34" t="s">
        <v>950</v>
      </c>
    </row>
    <row r="9" spans="2:3">
      <c r="B9" s="34" t="s">
        <v>951</v>
      </c>
    </row>
    <row r="10" spans="2:3">
      <c r="B10" s="34" t="s">
        <v>952</v>
      </c>
    </row>
    <row r="11" spans="2:3">
      <c r="B11" s="34" t="s">
        <v>892</v>
      </c>
    </row>
    <row r="13" spans="2:3">
      <c r="B13" s="34" t="s">
        <v>873</v>
      </c>
    </row>
    <row r="15" spans="2:3">
      <c r="B15" s="220" t="s">
        <v>871</v>
      </c>
      <c r="C15" s="220" t="s">
        <v>942</v>
      </c>
    </row>
    <row r="16" spans="2:3">
      <c r="B16" s="220" t="s">
        <v>114</v>
      </c>
      <c r="C16" s="220" t="s">
        <v>874</v>
      </c>
    </row>
    <row r="17" spans="2:3">
      <c r="B17" s="220" t="s">
        <v>115</v>
      </c>
      <c r="C17" s="220" t="s">
        <v>1033</v>
      </c>
    </row>
    <row r="18" spans="2:3">
      <c r="B18" s="220" t="s">
        <v>1050</v>
      </c>
      <c r="C18" s="220" t="s">
        <v>953</v>
      </c>
    </row>
    <row r="19" spans="2:3">
      <c r="B19" s="220" t="s">
        <v>13</v>
      </c>
      <c r="C19" s="220" t="s">
        <v>894</v>
      </c>
    </row>
    <row r="20" spans="2:3">
      <c r="B20" s="220" t="s">
        <v>875</v>
      </c>
      <c r="C20" s="220" t="s">
        <v>954</v>
      </c>
    </row>
    <row r="21" spans="2:3">
      <c r="B21" s="220" t="s">
        <v>876</v>
      </c>
      <c r="C21" s="220" t="s">
        <v>893</v>
      </c>
    </row>
    <row r="22" spans="2:3">
      <c r="B22" s="93" t="s">
        <v>880</v>
      </c>
      <c r="C22" s="220" t="s">
        <v>1007</v>
      </c>
    </row>
    <row r="23" spans="2:3">
      <c r="B23" s="220" t="s">
        <v>878</v>
      </c>
      <c r="C23" s="220" t="s">
        <v>879</v>
      </c>
    </row>
    <row r="24" spans="2:3">
      <c r="B24" s="220" t="s">
        <v>877</v>
      </c>
      <c r="C24" s="220" t="s">
        <v>895</v>
      </c>
    </row>
    <row r="25" spans="2:3">
      <c r="B25" s="220" t="s">
        <v>669</v>
      </c>
      <c r="C25" s="220" t="s">
        <v>882</v>
      </c>
    </row>
    <row r="27" spans="2:3">
      <c r="B27" s="110" t="s">
        <v>941</v>
      </c>
      <c r="C27" s="110" t="s">
        <v>943</v>
      </c>
    </row>
    <row r="28" spans="2:3">
      <c r="C28" s="110" t="s">
        <v>1014</v>
      </c>
    </row>
    <row r="29" spans="2:3">
      <c r="C29" s="34" t="s">
        <v>1013</v>
      </c>
    </row>
    <row r="31" spans="2:3">
      <c r="B31" s="34" t="s">
        <v>117</v>
      </c>
      <c r="C31" s="34" t="s">
        <v>118</v>
      </c>
    </row>
    <row r="32" spans="2:3">
      <c r="C32" s="707" t="s">
        <v>1006</v>
      </c>
    </row>
    <row r="33" spans="2:3">
      <c r="C33" s="706" t="s">
        <v>1004</v>
      </c>
    </row>
    <row r="35" spans="2:3">
      <c r="B35" s="34" t="s">
        <v>869</v>
      </c>
      <c r="C35" s="34" t="s">
        <v>140</v>
      </c>
    </row>
    <row r="36" spans="2:3">
      <c r="C36" s="34" t="s">
        <v>141</v>
      </c>
    </row>
    <row r="37" spans="2:3">
      <c r="C37" s="34" t="s">
        <v>870</v>
      </c>
    </row>
    <row r="39" spans="2:3" ht="15">
      <c r="C39" s="264"/>
    </row>
  </sheetData>
  <sheetProtection password="AAA9" sheet="1" objects="1" scenarios="1"/>
  <mergeCells count="2">
    <mergeCell ref="B4:C4"/>
    <mergeCell ref="B6:C6"/>
  </mergeCells>
  <phoneticPr fontId="5" type="noConversion"/>
  <pageMargins left="0.78740157499999996" right="0.78740157499999996" top="0.984251969" bottom="0.984251969" header="0.4921259845" footer="0.4921259845"/>
  <pageSetup paperSize="9" orientation="portrait" horizontalDpi="4294967293"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00CB-921A-4D04-A7FF-879361F0B931}">
  <dimension ref="A1:O33"/>
  <sheetViews>
    <sheetView zoomScaleNormal="100" workbookViewId="0"/>
  </sheetViews>
  <sheetFormatPr baseColWidth="10" defaultColWidth="11.42578125" defaultRowHeight="12.75"/>
  <cols>
    <col min="1" max="1" width="22.140625" style="87" customWidth="1"/>
    <col min="2" max="4" width="11.42578125" style="87"/>
    <col min="5" max="5" width="11.85546875" style="87" customWidth="1"/>
    <col min="6" max="6" width="8.28515625" style="87" customWidth="1"/>
    <col min="7" max="9" width="11.42578125" style="87"/>
    <col min="10" max="10" width="11.42578125" style="87" customWidth="1"/>
    <col min="11" max="16384" width="11.42578125" style="87"/>
  </cols>
  <sheetData>
    <row r="1" spans="1:14" ht="18">
      <c r="A1" s="13" t="s">
        <v>871</v>
      </c>
    </row>
    <row r="2" spans="1:14">
      <c r="A2" s="34" t="s">
        <v>896</v>
      </c>
    </row>
    <row r="3" spans="1:14">
      <c r="A3" s="95" t="s">
        <v>1032</v>
      </c>
    </row>
    <row r="4" spans="1:14">
      <c r="A4" s="95"/>
    </row>
    <row r="5" spans="1:14">
      <c r="A5" s="110"/>
      <c r="B5" s="627"/>
      <c r="C5" s="627"/>
      <c r="D5" s="627"/>
      <c r="E5" s="627"/>
      <c r="F5" s="627"/>
      <c r="G5" s="627"/>
      <c r="H5" s="627"/>
      <c r="I5" s="627"/>
      <c r="J5" s="627"/>
      <c r="K5" s="627"/>
      <c r="L5" s="627"/>
      <c r="M5" s="627"/>
      <c r="N5" s="627"/>
    </row>
    <row r="6" spans="1:14">
      <c r="A6" s="627"/>
      <c r="B6" s="627"/>
      <c r="C6" s="627"/>
      <c r="D6" s="627"/>
      <c r="E6" s="627"/>
      <c r="F6" s="627"/>
      <c r="G6" s="627"/>
      <c r="H6" s="627"/>
      <c r="I6" s="627"/>
      <c r="J6" s="627"/>
      <c r="K6" s="627"/>
      <c r="L6" s="627"/>
      <c r="M6" s="627"/>
      <c r="N6" s="627"/>
    </row>
    <row r="7" spans="1:14">
      <c r="A7" s="627"/>
      <c r="B7" s="627"/>
      <c r="C7" s="627"/>
      <c r="D7" s="627"/>
      <c r="E7" s="627"/>
      <c r="F7" s="627"/>
      <c r="G7" s="627"/>
      <c r="H7" s="627"/>
      <c r="I7" s="627"/>
      <c r="J7" s="627"/>
      <c r="K7" s="627"/>
      <c r="L7" s="627"/>
      <c r="M7" s="627"/>
      <c r="N7" s="627"/>
    </row>
    <row r="8" spans="1:14">
      <c r="A8" s="627"/>
      <c r="B8" s="627"/>
      <c r="C8" s="627"/>
      <c r="D8" s="627"/>
      <c r="E8" s="627"/>
      <c r="F8" s="627"/>
      <c r="G8" s="627"/>
      <c r="H8" s="627"/>
      <c r="I8" s="627"/>
      <c r="J8" s="627"/>
      <c r="K8" s="627"/>
      <c r="L8" s="627"/>
      <c r="M8" s="627"/>
      <c r="N8" s="627"/>
    </row>
    <row r="9" spans="1:14">
      <c r="A9" s="627"/>
      <c r="B9" s="627"/>
      <c r="C9" s="627"/>
      <c r="D9" s="627"/>
      <c r="E9" s="627"/>
      <c r="F9" s="627"/>
      <c r="G9" s="627"/>
      <c r="H9" s="627"/>
      <c r="I9" s="627"/>
      <c r="J9" s="627"/>
      <c r="K9" s="627"/>
      <c r="L9" s="627"/>
      <c r="M9" s="627"/>
      <c r="N9" s="627"/>
    </row>
    <row r="10" spans="1:14">
      <c r="A10" s="627"/>
      <c r="B10" s="627"/>
      <c r="C10" s="627"/>
      <c r="D10" s="627"/>
      <c r="E10" s="627"/>
      <c r="F10" s="627"/>
      <c r="G10" s="627"/>
      <c r="H10" s="627"/>
      <c r="I10" s="627"/>
      <c r="J10" s="627"/>
      <c r="K10" s="627"/>
      <c r="L10" s="627"/>
      <c r="M10" s="627"/>
      <c r="N10" s="627"/>
    </row>
    <row r="11" spans="1:14">
      <c r="A11" s="627"/>
      <c r="B11" s="627"/>
      <c r="C11" s="627"/>
      <c r="D11" s="627"/>
      <c r="E11" s="627"/>
      <c r="F11" s="627"/>
      <c r="G11" s="627"/>
      <c r="H11" s="627"/>
      <c r="I11" s="627"/>
      <c r="J11" s="627"/>
      <c r="K11" s="627"/>
      <c r="L11" s="627"/>
      <c r="M11" s="627"/>
      <c r="N11" s="627"/>
    </row>
    <row r="12" spans="1:14">
      <c r="A12" s="627"/>
      <c r="B12" s="627"/>
      <c r="C12" s="627"/>
      <c r="D12" s="627"/>
      <c r="E12" s="627"/>
      <c r="F12" s="627"/>
      <c r="G12" s="627"/>
      <c r="H12" s="627"/>
      <c r="I12" s="627"/>
      <c r="J12" s="627"/>
      <c r="K12" s="627"/>
      <c r="L12" s="627"/>
      <c r="M12" s="627"/>
      <c r="N12" s="627"/>
    </row>
    <row r="13" spans="1:14">
      <c r="A13" s="627"/>
      <c r="B13" s="627"/>
      <c r="C13" s="627"/>
      <c r="D13" s="627"/>
      <c r="E13" s="627"/>
      <c r="F13" s="627"/>
      <c r="G13" s="627"/>
      <c r="H13" s="627"/>
      <c r="I13" s="627"/>
      <c r="J13" s="627"/>
      <c r="K13" s="627"/>
      <c r="L13" s="627"/>
      <c r="M13" s="627"/>
      <c r="N13" s="627"/>
    </row>
    <row r="14" spans="1:14">
      <c r="A14" s="627"/>
      <c r="B14" s="627"/>
      <c r="C14" s="627"/>
      <c r="D14" s="627"/>
      <c r="E14" s="627"/>
      <c r="F14" s="627"/>
      <c r="G14" s="627"/>
      <c r="H14" s="627"/>
      <c r="I14" s="627"/>
      <c r="J14" s="627"/>
      <c r="K14" s="627"/>
      <c r="L14" s="627"/>
      <c r="M14" s="627"/>
      <c r="N14" s="627"/>
    </row>
    <row r="15" spans="1:14">
      <c r="A15" s="627"/>
      <c r="B15" s="627"/>
      <c r="C15" s="627"/>
      <c r="D15" s="627"/>
      <c r="E15" s="627"/>
      <c r="F15" s="627"/>
      <c r="G15" s="627"/>
      <c r="H15" s="627"/>
      <c r="I15" s="627"/>
      <c r="J15" s="627"/>
      <c r="K15" s="627"/>
      <c r="L15" s="627"/>
      <c r="M15" s="627"/>
      <c r="N15" s="627"/>
    </row>
    <row r="16" spans="1:14">
      <c r="A16" s="627"/>
      <c r="B16" s="627"/>
      <c r="C16" s="627"/>
      <c r="D16" s="627"/>
      <c r="E16" s="627"/>
      <c r="F16" s="627"/>
      <c r="G16" s="627"/>
      <c r="H16" s="627"/>
      <c r="I16" s="627"/>
      <c r="J16" s="627"/>
      <c r="K16" s="627"/>
      <c r="L16" s="627"/>
      <c r="M16" s="627"/>
      <c r="N16" s="627"/>
    </row>
    <row r="17" spans="1:15">
      <c r="A17" s="627"/>
      <c r="B17" s="627"/>
      <c r="C17" s="627"/>
      <c r="D17" s="627"/>
      <c r="E17" s="627"/>
      <c r="F17" s="627"/>
      <c r="G17" s="627"/>
      <c r="H17" s="627"/>
      <c r="I17" s="627"/>
      <c r="J17" s="627"/>
      <c r="K17" s="627"/>
      <c r="L17" s="627"/>
      <c r="M17" s="627"/>
      <c r="N17" s="627"/>
    </row>
    <row r="18" spans="1:15">
      <c r="A18" s="627"/>
      <c r="B18" s="627"/>
      <c r="C18" s="627"/>
      <c r="D18" s="627"/>
      <c r="E18" s="627"/>
      <c r="F18" s="627"/>
      <c r="G18" s="627"/>
      <c r="H18" s="627"/>
      <c r="I18" s="627"/>
      <c r="J18" s="627"/>
      <c r="K18" s="627"/>
      <c r="L18" s="627"/>
      <c r="M18" s="627"/>
      <c r="N18" s="627"/>
    </row>
    <row r="19" spans="1:15">
      <c r="A19" s="627"/>
      <c r="B19" s="627"/>
      <c r="C19" s="627"/>
      <c r="D19" s="627"/>
      <c r="E19" s="627"/>
      <c r="F19" s="627"/>
      <c r="G19" s="627"/>
      <c r="H19" s="627"/>
      <c r="I19" s="627"/>
      <c r="J19" s="627"/>
      <c r="K19" s="627"/>
      <c r="L19" s="627"/>
      <c r="M19" s="627"/>
      <c r="N19" s="627"/>
    </row>
    <row r="20" spans="1:15">
      <c r="A20" s="627"/>
      <c r="B20" s="627"/>
      <c r="C20" s="627"/>
      <c r="D20" s="627"/>
      <c r="E20" s="627"/>
      <c r="F20" s="627"/>
      <c r="G20" s="627"/>
      <c r="H20" s="627"/>
      <c r="I20" s="627"/>
      <c r="J20" s="627"/>
      <c r="K20" s="627"/>
      <c r="L20" s="627"/>
      <c r="M20" s="627"/>
      <c r="N20" s="627"/>
    </row>
    <row r="21" spans="1:15">
      <c r="A21" s="627"/>
      <c r="B21" s="627"/>
      <c r="C21" s="627"/>
      <c r="D21" s="627"/>
      <c r="E21" s="627"/>
      <c r="F21" s="627"/>
      <c r="G21" s="627"/>
      <c r="H21" s="627"/>
      <c r="I21" s="627"/>
      <c r="J21" s="627"/>
      <c r="K21" s="627"/>
      <c r="L21" s="627"/>
      <c r="M21" s="627"/>
      <c r="N21" s="627"/>
    </row>
    <row r="22" spans="1:15">
      <c r="A22" s="628"/>
      <c r="B22" s="627"/>
      <c r="C22" s="627"/>
      <c r="D22" s="627"/>
      <c r="E22" s="627"/>
      <c r="F22" s="627"/>
      <c r="G22" s="627"/>
      <c r="H22" s="627"/>
      <c r="I22" s="627"/>
      <c r="J22" s="627"/>
      <c r="K22" s="627"/>
      <c r="L22" s="627"/>
      <c r="M22" s="627"/>
      <c r="N22" s="627"/>
      <c r="O22" s="624"/>
    </row>
    <row r="23" spans="1:15">
      <c r="A23" s="627"/>
      <c r="B23" s="627"/>
      <c r="C23" s="627"/>
      <c r="D23" s="627"/>
      <c r="E23" s="627"/>
      <c r="F23" s="627"/>
      <c r="G23" s="627"/>
      <c r="H23" s="627"/>
      <c r="I23" s="627"/>
      <c r="J23" s="627"/>
      <c r="K23" s="627"/>
      <c r="L23" s="627"/>
      <c r="M23" s="627"/>
      <c r="N23" s="627"/>
    </row>
    <row r="24" spans="1:15">
      <c r="A24" s="627"/>
      <c r="B24" s="627"/>
      <c r="C24" s="627"/>
      <c r="D24" s="629"/>
      <c r="E24" s="627"/>
      <c r="F24" s="627"/>
      <c r="G24" s="629"/>
      <c r="H24" s="625"/>
      <c r="I24" s="625"/>
      <c r="J24" s="626"/>
      <c r="K24" s="627"/>
      <c r="L24" s="625"/>
      <c r="M24" s="629"/>
      <c r="N24" s="627"/>
    </row>
    <row r="25" spans="1:15">
      <c r="A25" s="627"/>
      <c r="B25" s="627"/>
      <c r="C25" s="627"/>
      <c r="D25" s="629"/>
      <c r="E25" s="627"/>
      <c r="F25" s="627"/>
      <c r="G25" s="629"/>
      <c r="H25" s="625"/>
      <c r="I25" s="625"/>
      <c r="J25" s="626"/>
      <c r="K25" s="627"/>
      <c r="L25" s="625"/>
      <c r="M25" s="629"/>
      <c r="N25" s="627"/>
    </row>
    <row r="26" spans="1:15">
      <c r="A26" s="627"/>
      <c r="B26" s="627"/>
      <c r="C26" s="627"/>
      <c r="D26" s="629"/>
      <c r="E26" s="627"/>
      <c r="F26" s="627"/>
      <c r="G26" s="627"/>
      <c r="H26" s="625"/>
      <c r="I26" s="625"/>
      <c r="J26" s="626"/>
      <c r="K26" s="627"/>
      <c r="L26" s="625"/>
      <c r="M26" s="629"/>
      <c r="N26" s="627"/>
    </row>
    <row r="27" spans="1:15">
      <c r="A27" s="627"/>
      <c r="B27" s="627"/>
      <c r="C27" s="627"/>
      <c r="D27" s="629"/>
      <c r="E27" s="627"/>
      <c r="F27" s="627"/>
      <c r="G27" s="629"/>
      <c r="H27" s="625"/>
      <c r="I27" s="625"/>
      <c r="J27" s="626"/>
      <c r="K27" s="627"/>
      <c r="L27" s="625"/>
      <c r="M27" s="629"/>
      <c r="N27" s="627"/>
    </row>
    <row r="28" spans="1:15">
      <c r="A28" s="627"/>
      <c r="B28" s="627"/>
      <c r="C28" s="627"/>
      <c r="D28" s="629"/>
      <c r="E28" s="627"/>
      <c r="F28" s="627"/>
      <c r="G28" s="629"/>
      <c r="H28" s="625"/>
      <c r="I28" s="625"/>
      <c r="J28" s="626"/>
      <c r="K28" s="627"/>
      <c r="L28" s="625"/>
      <c r="M28" s="629"/>
      <c r="N28" s="627"/>
    </row>
    <row r="29" spans="1:15">
      <c r="A29" s="627"/>
      <c r="B29" s="627"/>
      <c r="C29" s="627"/>
      <c r="D29" s="627"/>
      <c r="E29" s="630"/>
      <c r="F29" s="627"/>
      <c r="G29" s="627"/>
      <c r="H29" s="625"/>
      <c r="I29" s="625"/>
      <c r="J29" s="627"/>
      <c r="K29" s="627"/>
      <c r="L29" s="625"/>
      <c r="M29" s="627"/>
      <c r="N29" s="627"/>
    </row>
    <row r="30" spans="1:15">
      <c r="A30" s="627"/>
      <c r="B30" s="626"/>
      <c r="C30" s="629"/>
      <c r="D30" s="627"/>
      <c r="E30" s="627"/>
      <c r="F30" s="627"/>
      <c r="G30" s="627"/>
      <c r="H30" s="626"/>
      <c r="I30" s="626"/>
      <c r="J30" s="627"/>
      <c r="K30" s="627"/>
      <c r="L30" s="627"/>
      <c r="M30" s="629"/>
      <c r="N30" s="627"/>
      <c r="O30" s="624"/>
    </row>
    <row r="31" spans="1:15">
      <c r="A31" s="627"/>
      <c r="B31" s="627"/>
      <c r="C31" s="630"/>
      <c r="D31" s="627"/>
      <c r="E31" s="627"/>
      <c r="F31" s="627"/>
      <c r="G31" s="627"/>
      <c r="H31" s="627"/>
      <c r="I31" s="627"/>
      <c r="J31" s="627"/>
      <c r="K31" s="627"/>
      <c r="L31" s="627"/>
      <c r="M31" s="627"/>
      <c r="N31" s="627"/>
    </row>
    <row r="32" spans="1:15">
      <c r="A32" s="627"/>
      <c r="B32" s="627"/>
      <c r="C32" s="627"/>
      <c r="D32" s="627"/>
      <c r="E32" s="627"/>
      <c r="F32" s="627"/>
      <c r="G32" s="627"/>
      <c r="H32" s="627"/>
      <c r="I32" s="627"/>
      <c r="J32" s="627"/>
      <c r="K32" s="627"/>
      <c r="L32" s="627"/>
      <c r="M32" s="627"/>
      <c r="N32" s="627"/>
    </row>
    <row r="33" spans="1:14">
      <c r="A33" s="627"/>
      <c r="B33" s="627"/>
      <c r="C33" s="627"/>
      <c r="D33" s="627"/>
      <c r="E33" s="627"/>
      <c r="F33" s="627"/>
      <c r="G33" s="627"/>
      <c r="H33" s="627"/>
      <c r="I33" s="627"/>
      <c r="J33" s="627"/>
      <c r="K33" s="627"/>
      <c r="L33" s="627"/>
      <c r="M33" s="627"/>
      <c r="N33" s="627"/>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9" tint="0.39997558519241921"/>
  </sheetPr>
  <dimension ref="A2:U90"/>
  <sheetViews>
    <sheetView zoomScaleNormal="100" workbookViewId="0"/>
  </sheetViews>
  <sheetFormatPr baseColWidth="10" defaultColWidth="11.5703125" defaultRowHeight="12.75"/>
  <cols>
    <col min="1" max="1" width="12.140625" style="14" customWidth="1"/>
    <col min="2" max="2" width="28.42578125" style="14" customWidth="1"/>
    <col min="3" max="3" width="14" style="14" customWidth="1"/>
    <col min="4" max="4" width="14.28515625" style="14" customWidth="1"/>
    <col min="5" max="5" width="15.42578125" style="14" customWidth="1"/>
    <col min="6" max="6" width="9" style="14" customWidth="1"/>
    <col min="7" max="7" width="21.42578125" style="14" customWidth="1"/>
    <col min="8" max="8" width="20" style="14" customWidth="1"/>
    <col min="9" max="9" width="12.7109375" style="14" customWidth="1"/>
    <col min="10" max="10" width="13.28515625" style="14" customWidth="1"/>
    <col min="11" max="11" width="12.140625" style="14" customWidth="1"/>
    <col min="12" max="12" width="16.85546875" style="14" customWidth="1"/>
    <col min="13" max="16" width="11.28515625" style="14" customWidth="1"/>
    <col min="17" max="17" width="11.5703125" style="14"/>
    <col min="18" max="18" width="14" style="14" customWidth="1"/>
    <col min="19" max="16384" width="11.5703125" style="14"/>
  </cols>
  <sheetData>
    <row r="2" spans="1:16" ht="16.5">
      <c r="D2" s="265"/>
      <c r="E2" s="653" t="s">
        <v>153</v>
      </c>
      <c r="G2" s="610"/>
      <c r="H2" s="645"/>
      <c r="I2" s="644"/>
      <c r="J2" s="644"/>
      <c r="K2" s="644"/>
      <c r="L2" s="644"/>
      <c r="M2" s="644"/>
    </row>
    <row r="3" spans="1:16" ht="18" customHeight="1">
      <c r="A3" s="13" t="s">
        <v>944</v>
      </c>
      <c r="D3" s="265"/>
      <c r="E3" s="12"/>
      <c r="G3" s="610"/>
      <c r="H3" s="644"/>
      <c r="I3" s="644"/>
      <c r="J3" s="644"/>
      <c r="K3" s="644"/>
      <c r="L3" s="644"/>
      <c r="M3" s="644"/>
    </row>
    <row r="4" spans="1:16" ht="12.75" customHeight="1">
      <c r="A4" s="733" t="s">
        <v>955</v>
      </c>
      <c r="B4" s="734"/>
      <c r="C4" s="734"/>
      <c r="D4" s="734"/>
      <c r="E4" s="734"/>
      <c r="F4" s="734"/>
      <c r="G4" s="239"/>
      <c r="H4" s="644"/>
      <c r="I4" s="644"/>
      <c r="J4" s="644"/>
      <c r="K4" s="644"/>
      <c r="L4" s="644"/>
      <c r="M4" s="644"/>
    </row>
    <row r="5" spans="1:16" ht="12.75" customHeight="1">
      <c r="A5" s="734"/>
      <c r="B5" s="734"/>
      <c r="C5" s="734"/>
      <c r="D5" s="734"/>
      <c r="E5" s="734"/>
      <c r="F5" s="734"/>
      <c r="G5" s="239"/>
      <c r="H5" s="644"/>
      <c r="I5" s="644"/>
      <c r="J5" s="644"/>
      <c r="K5" s="644"/>
      <c r="L5" s="644"/>
      <c r="M5" s="644"/>
    </row>
    <row r="6" spans="1:16">
      <c r="B6" s="99" t="s">
        <v>470</v>
      </c>
      <c r="C6" s="37"/>
      <c r="D6" s="266"/>
      <c r="E6" s="267" t="s">
        <v>663</v>
      </c>
      <c r="F6" s="37"/>
      <c r="G6" s="239"/>
      <c r="H6" s="644"/>
      <c r="I6" s="644"/>
      <c r="J6" s="644"/>
      <c r="K6" s="644"/>
      <c r="L6" s="644"/>
      <c r="M6" s="644"/>
    </row>
    <row r="7" spans="1:16">
      <c r="A7" s="249"/>
      <c r="B7" s="77"/>
      <c r="C7" s="77"/>
      <c r="D7" s="268" t="s">
        <v>872</v>
      </c>
      <c r="E7" s="736"/>
      <c r="F7" s="737"/>
      <c r="H7" s="644"/>
      <c r="I7" s="644"/>
      <c r="J7" s="644"/>
      <c r="K7" s="644"/>
      <c r="L7" s="644"/>
      <c r="M7" s="644"/>
      <c r="N7" s="77"/>
      <c r="O7" s="77"/>
      <c r="P7" s="77"/>
    </row>
    <row r="8" spans="1:16">
      <c r="A8" s="90"/>
      <c r="B8" s="110"/>
      <c r="C8" s="90"/>
      <c r="D8" s="90"/>
      <c r="E8" s="249"/>
      <c r="F8" s="90"/>
      <c r="N8" s="77"/>
      <c r="O8" s="77"/>
      <c r="P8" s="77"/>
    </row>
    <row r="9" spans="1:16" s="274" customFormat="1" ht="3.6" customHeight="1">
      <c r="B9" s="208"/>
      <c r="E9" s="275"/>
      <c r="N9" s="275"/>
      <c r="O9" s="275"/>
      <c r="P9" s="275"/>
    </row>
    <row r="10" spans="1:16" ht="18">
      <c r="A10" s="13" t="s">
        <v>24</v>
      </c>
      <c r="D10" s="265"/>
      <c r="E10" s="77"/>
      <c r="F10" s="90"/>
      <c r="N10" s="77"/>
      <c r="O10" s="77"/>
      <c r="P10" s="77"/>
    </row>
    <row r="11" spans="1:16">
      <c r="A11" s="34" t="s">
        <v>956</v>
      </c>
      <c r="H11" s="276" t="s">
        <v>986</v>
      </c>
      <c r="I11" s="277"/>
      <c r="J11" s="277"/>
      <c r="K11" s="277"/>
      <c r="L11" s="277"/>
      <c r="M11" s="277"/>
      <c r="N11" s="277"/>
      <c r="O11" s="277"/>
      <c r="P11" s="278"/>
    </row>
    <row r="12" spans="1:16" ht="13.15" customHeight="1">
      <c r="A12" s="108" t="s">
        <v>957</v>
      </c>
      <c r="B12" s="34"/>
      <c r="F12" s="292"/>
      <c r="H12" s="738" t="s">
        <v>959</v>
      </c>
      <c r="I12" s="739"/>
      <c r="J12" s="739"/>
      <c r="K12" s="739"/>
      <c r="L12" s="739"/>
      <c r="M12" s="739"/>
      <c r="N12" s="739"/>
      <c r="O12" s="611"/>
      <c r="P12" s="614"/>
    </row>
    <row r="13" spans="1:16">
      <c r="D13" s="265"/>
      <c r="F13" s="90"/>
      <c r="H13" s="738"/>
      <c r="I13" s="739"/>
      <c r="J13" s="739"/>
      <c r="K13" s="739"/>
      <c r="L13" s="739"/>
      <c r="M13" s="739"/>
      <c r="N13" s="739"/>
      <c r="O13" s="269"/>
      <c r="P13" s="270"/>
    </row>
    <row r="14" spans="1:16" ht="12.75" customHeight="1">
      <c r="A14" s="34" t="s">
        <v>958</v>
      </c>
      <c r="D14" s="265"/>
      <c r="F14" s="90"/>
      <c r="H14" s="740" t="s">
        <v>960</v>
      </c>
      <c r="I14" s="741"/>
      <c r="J14" s="741"/>
      <c r="K14" s="741"/>
      <c r="L14" s="741"/>
      <c r="M14" s="741"/>
      <c r="N14" s="741"/>
      <c r="O14" s="612"/>
      <c r="P14" s="613"/>
    </row>
    <row r="15" spans="1:16">
      <c r="A15" s="209"/>
      <c r="D15" s="265"/>
      <c r="F15" s="90"/>
      <c r="H15" s="740"/>
      <c r="I15" s="741"/>
      <c r="J15" s="741"/>
      <c r="K15" s="741"/>
      <c r="L15" s="741"/>
      <c r="M15" s="741"/>
      <c r="N15" s="741"/>
      <c r="O15" s="612"/>
      <c r="P15" s="613"/>
    </row>
    <row r="16" spans="1:16" ht="13.9" customHeight="1">
      <c r="B16" s="21"/>
      <c r="C16" s="21"/>
      <c r="D16" s="21"/>
      <c r="E16" s="15" t="s">
        <v>34</v>
      </c>
      <c r="H16" s="279"/>
      <c r="I16" s="269"/>
      <c r="J16" s="280" t="s">
        <v>249</v>
      </c>
      <c r="K16" s="269"/>
      <c r="L16" s="269"/>
      <c r="M16" s="269"/>
      <c r="N16" s="269"/>
      <c r="O16" s="269"/>
      <c r="P16" s="270"/>
    </row>
    <row r="17" spans="1:16">
      <c r="B17" s="6" t="s">
        <v>24</v>
      </c>
      <c r="C17" s="6"/>
      <c r="D17" s="89"/>
      <c r="E17" s="230"/>
      <c r="F17" s="281"/>
      <c r="H17" s="282" t="s">
        <v>868</v>
      </c>
      <c r="I17" s="206"/>
      <c r="J17" s="283" t="e">
        <f>VLOOKUP($E$7,Factors!$B$159:$K$390,5,FALSE)*1000</f>
        <v>#N/A</v>
      </c>
      <c r="K17" s="104" t="s">
        <v>35</v>
      </c>
      <c r="L17" s="284" t="e">
        <f>IF(VLOOKUP($E$7,Factors!$B$159:$D$390,3,FALSE)="x","Regional value","Country value")</f>
        <v>#N/A</v>
      </c>
      <c r="M17" s="104" t="s">
        <v>897</v>
      </c>
      <c r="N17" s="269"/>
      <c r="O17" s="269"/>
      <c r="P17" s="270"/>
    </row>
    <row r="18" spans="1:16" ht="13.9" customHeight="1">
      <c r="H18" s="285" t="s">
        <v>978</v>
      </c>
      <c r="I18" s="207"/>
      <c r="J18" s="286" t="e">
        <f>VLOOKUP($E$7,Factors!$B$159:$Z$390,25,FALSE)*1000000</f>
        <v>#N/A</v>
      </c>
      <c r="K18" s="287"/>
      <c r="L18" s="269"/>
      <c r="M18" s="288" t="s">
        <v>898</v>
      </c>
      <c r="N18" s="269"/>
      <c r="O18" s="269"/>
      <c r="P18" s="270"/>
    </row>
    <row r="19" spans="1:16" ht="12" customHeight="1">
      <c r="A19" s="34" t="s">
        <v>1051</v>
      </c>
      <c r="F19" s="292"/>
      <c r="H19" s="289" t="s">
        <v>720</v>
      </c>
      <c r="I19" s="290">
        <f>I17/1000*I18</f>
        <v>0</v>
      </c>
      <c r="J19" s="291" t="s">
        <v>34</v>
      </c>
      <c r="K19" s="272"/>
      <c r="L19" s="272"/>
      <c r="M19" s="272"/>
      <c r="N19" s="272"/>
      <c r="O19" s="272"/>
      <c r="P19" s="273"/>
    </row>
    <row r="20" spans="1:16" ht="13.5" thickBot="1">
      <c r="F20" s="292"/>
      <c r="N20" s="77"/>
    </row>
    <row r="21" spans="1:16" ht="18">
      <c r="A21" s="108"/>
      <c r="B21" s="108"/>
      <c r="C21" s="108"/>
      <c r="D21" s="108"/>
      <c r="E21" s="108"/>
      <c r="F21" s="108"/>
      <c r="H21" s="16" t="s">
        <v>125</v>
      </c>
      <c r="I21" s="255"/>
      <c r="J21" s="255"/>
      <c r="K21" s="255"/>
      <c r="L21" s="319"/>
      <c r="N21" s="77"/>
    </row>
    <row r="22" spans="1:16" ht="14.25">
      <c r="A22" s="108"/>
      <c r="B22" s="108"/>
      <c r="C22" s="108"/>
      <c r="D22" s="108"/>
      <c r="E22" s="108"/>
      <c r="F22" s="108"/>
      <c r="H22" s="17" t="s">
        <v>111</v>
      </c>
      <c r="I22" s="25"/>
      <c r="J22" s="25"/>
      <c r="K22" s="318"/>
      <c r="L22" s="317"/>
      <c r="N22" s="77"/>
    </row>
    <row r="23" spans="1:16">
      <c r="F23" s="292"/>
      <c r="H23" s="18" t="s">
        <v>112</v>
      </c>
      <c r="I23" s="293"/>
      <c r="J23" s="293"/>
      <c r="K23" s="25"/>
      <c r="L23" s="317"/>
      <c r="N23" s="77"/>
    </row>
    <row r="24" spans="1:16">
      <c r="F24" s="292"/>
      <c r="H24" s="294"/>
      <c r="I24" s="19" t="s">
        <v>34</v>
      </c>
      <c r="J24" s="86">
        <f>+E17</f>
        <v>0</v>
      </c>
      <c r="K24" s="25"/>
      <c r="L24" s="317"/>
      <c r="N24" s="77"/>
    </row>
    <row r="25" spans="1:16">
      <c r="F25" s="292"/>
      <c r="H25" s="258"/>
      <c r="I25" s="20" t="s">
        <v>35</v>
      </c>
      <c r="J25" s="192" t="str">
        <f>IF(I18&gt;0,E17/I18*1000,"insert inhabitants in the green cell")</f>
        <v>insert inhabitants in the green cell</v>
      </c>
      <c r="K25" s="25"/>
      <c r="L25" s="317"/>
      <c r="N25" s="77"/>
    </row>
    <row r="26" spans="1:16">
      <c r="F26" s="292"/>
      <c r="H26" s="258"/>
      <c r="I26" s="20" t="s">
        <v>100</v>
      </c>
      <c r="J26" s="192" t="str">
        <f>IF(I18&gt;0,J25/365,"insert inhabitants in the green cell")</f>
        <v>insert inhabitants in the green cell</v>
      </c>
      <c r="K26" s="25"/>
      <c r="L26" s="317"/>
      <c r="N26" s="77"/>
    </row>
    <row r="27" spans="1:16" ht="13.5" thickBot="1">
      <c r="H27" s="261"/>
      <c r="I27" s="262"/>
      <c r="J27" s="262"/>
      <c r="K27" s="262"/>
      <c r="L27" s="320"/>
      <c r="N27" s="77"/>
    </row>
    <row r="28" spans="1:16">
      <c r="A28" s="102"/>
      <c r="B28" s="34"/>
      <c r="H28" s="34"/>
    </row>
    <row r="29" spans="1:16" s="274" customFormat="1" ht="3.6" customHeight="1">
      <c r="B29" s="208"/>
      <c r="E29" s="275"/>
      <c r="N29" s="275"/>
      <c r="O29" s="275"/>
      <c r="P29" s="275"/>
    </row>
    <row r="30" spans="1:16" ht="18" customHeight="1">
      <c r="A30" s="13" t="s">
        <v>154</v>
      </c>
    </row>
    <row r="31" spans="1:16">
      <c r="A31" s="731" t="s">
        <v>961</v>
      </c>
      <c r="B31" s="732"/>
      <c r="C31" s="732"/>
      <c r="D31" s="732"/>
      <c r="E31" s="732"/>
      <c r="F31" s="732"/>
      <c r="G31" s="732"/>
      <c r="P31" s="295"/>
    </row>
    <row r="32" spans="1:16">
      <c r="A32" s="732"/>
      <c r="B32" s="732"/>
      <c r="C32" s="732"/>
      <c r="D32" s="732"/>
      <c r="E32" s="732"/>
      <c r="F32" s="732"/>
      <c r="G32" s="732"/>
      <c r="P32" s="295"/>
    </row>
    <row r="33" spans="1:21">
      <c r="A33" s="731" t="s">
        <v>962</v>
      </c>
      <c r="B33" s="731"/>
      <c r="C33" s="731"/>
      <c r="D33" s="731"/>
      <c r="E33" s="731"/>
      <c r="F33" s="731"/>
      <c r="G33" s="731"/>
      <c r="N33" s="34"/>
    </row>
    <row r="34" spans="1:21">
      <c r="A34" s="731"/>
      <c r="B34" s="731"/>
      <c r="C34" s="731"/>
      <c r="D34" s="731"/>
      <c r="E34" s="731"/>
      <c r="F34" s="731"/>
      <c r="G34" s="731"/>
      <c r="N34" s="34"/>
    </row>
    <row r="35" spans="1:21" ht="13.15" customHeight="1">
      <c r="B35" s="292"/>
      <c r="C35" s="34" t="s">
        <v>249</v>
      </c>
      <c r="U35" s="296"/>
    </row>
    <row r="36" spans="1:21">
      <c r="B36" s="21" t="s">
        <v>19</v>
      </c>
      <c r="C36" s="297" t="e">
        <f>IF(VLOOKUP($E$7,Factors!$B$159:$Y$390,24,FALSE)="x","Regional values","Country values")</f>
        <v>#N/A</v>
      </c>
      <c r="D36" s="7"/>
      <c r="E36" s="15" t="s">
        <v>33</v>
      </c>
    </row>
    <row r="37" spans="1:21">
      <c r="B37" s="89" t="s">
        <v>90</v>
      </c>
      <c r="C37" s="298" t="e">
        <f>VLOOKUP($E$7,Factors!$B$159:$X$390,13,FALSE)</f>
        <v>#N/A</v>
      </c>
      <c r="D37" s="91"/>
      <c r="E37" s="36"/>
      <c r="F37" s="299"/>
      <c r="Q37" s="296"/>
    </row>
    <row r="38" spans="1:21">
      <c r="B38" s="89" t="s">
        <v>99</v>
      </c>
      <c r="C38" s="298" t="e">
        <f>VLOOKUP($E$7,Factors!$B$159:$X$390,14,FALSE)</f>
        <v>#N/A</v>
      </c>
      <c r="D38" s="91"/>
      <c r="E38" s="36"/>
      <c r="F38" s="299"/>
    </row>
    <row r="39" spans="1:21" ht="13.15" customHeight="1">
      <c r="B39" s="89" t="s">
        <v>20</v>
      </c>
      <c r="C39" s="298" t="e">
        <f>VLOOKUP($E$7,Factors!$B$159:$X$390,15,FALSE)</f>
        <v>#N/A</v>
      </c>
      <c r="D39" s="91"/>
      <c r="E39" s="36"/>
    </row>
    <row r="40" spans="1:21">
      <c r="B40" s="89" t="s">
        <v>21</v>
      </c>
      <c r="C40" s="298" t="e">
        <f>VLOOKUP($E$7,Factors!$B$159:$X$390,20,FALSE)</f>
        <v>#N/A</v>
      </c>
      <c r="D40" s="91"/>
      <c r="E40" s="36"/>
    </row>
    <row r="41" spans="1:21">
      <c r="B41" s="89" t="s">
        <v>22</v>
      </c>
      <c r="C41" s="298" t="e">
        <f>VLOOKUP($E$7,Factors!$B$159:$X$390,22,FALSE)</f>
        <v>#N/A</v>
      </c>
      <c r="D41" s="91"/>
      <c r="E41" s="36"/>
    </row>
    <row r="42" spans="1:21">
      <c r="B42" s="102" t="s">
        <v>93</v>
      </c>
      <c r="C42" s="735" t="e">
        <f>VLOOKUP($E$7,Factors!$B$159:$X$390,21,FALSE)</f>
        <v>#N/A</v>
      </c>
      <c r="D42" s="674" t="e">
        <f>C42*0.85</f>
        <v>#N/A</v>
      </c>
      <c r="E42" s="36"/>
    </row>
    <row r="43" spans="1:21" ht="13.15" customHeight="1">
      <c r="B43" s="102" t="s">
        <v>94</v>
      </c>
      <c r="C43" s="735"/>
      <c r="D43" s="674" t="e">
        <f>+C42-D42</f>
        <v>#N/A</v>
      </c>
      <c r="E43" s="36"/>
      <c r="F43" s="231"/>
    </row>
    <row r="44" spans="1:21">
      <c r="B44" s="89" t="s">
        <v>55</v>
      </c>
      <c r="C44" s="298" t="e">
        <f>VLOOKUP($E$7,Factors!$B$159:$X$390,17,FALSE)</f>
        <v>#N/A</v>
      </c>
      <c r="D44" s="92"/>
      <c r="E44" s="36"/>
    </row>
    <row r="45" spans="1:21">
      <c r="B45" s="89" t="s">
        <v>89</v>
      </c>
      <c r="C45" s="298" t="e">
        <f>VLOOKUP($E$7,Factors!$B$159:$X$390,19,FALSE)</f>
        <v>#N/A</v>
      </c>
      <c r="D45" s="92"/>
      <c r="E45" s="36"/>
    </row>
    <row r="46" spans="1:21">
      <c r="B46" s="89" t="s">
        <v>98</v>
      </c>
      <c r="C46" s="298" t="e">
        <f>VLOOKUP($E$7,Factors!$B$159:$X$390,18,FALSE)</f>
        <v>#N/A</v>
      </c>
      <c r="D46" s="92"/>
      <c r="E46" s="36"/>
    </row>
    <row r="47" spans="1:21">
      <c r="B47" s="89" t="s">
        <v>91</v>
      </c>
      <c r="C47" s="298" t="e">
        <f>VLOOKUP($E$7,Factors!$B$159:$X$390,16,FALSE)</f>
        <v>#N/A</v>
      </c>
      <c r="D47" s="92"/>
      <c r="E47" s="36"/>
    </row>
    <row r="48" spans="1:21">
      <c r="A48" s="299"/>
      <c r="B48" s="99" t="s">
        <v>705</v>
      </c>
      <c r="C48" s="300" t="e">
        <f>VLOOKUP($E$7,Factors!$B$159:$X$390,23,FALSE)</f>
        <v>#N/A</v>
      </c>
      <c r="D48" s="103"/>
      <c r="E48" s="36"/>
      <c r="G48" s="249"/>
      <c r="H48" s="301"/>
      <c r="I48" s="249"/>
      <c r="L48" s="296"/>
    </row>
    <row r="49" spans="1:16">
      <c r="B49" s="686" t="s">
        <v>36</v>
      </c>
      <c r="C49" s="708" t="e">
        <f>SUM(C37:C48)</f>
        <v>#N/A</v>
      </c>
      <c r="D49" s="24"/>
      <c r="E49" s="215" t="str">
        <f>IF(SUM(E37:E48)=0,"",SUM(E37:E48))</f>
        <v/>
      </c>
      <c r="F49" s="238"/>
    </row>
    <row r="50" spans="1:16">
      <c r="B50" s="6"/>
      <c r="C50" s="34"/>
      <c r="D50" s="24"/>
      <c r="E50" s="77"/>
    </row>
    <row r="51" spans="1:16" s="274" customFormat="1" ht="3.6" customHeight="1">
      <c r="B51" s="208"/>
      <c r="E51" s="275"/>
      <c r="N51" s="275"/>
      <c r="O51" s="275"/>
      <c r="P51" s="275"/>
    </row>
    <row r="52" spans="1:16" ht="18">
      <c r="A52" s="13" t="s">
        <v>134</v>
      </c>
      <c r="B52" s="6"/>
      <c r="C52" s="302"/>
      <c r="D52" s="302"/>
      <c r="E52" s="77"/>
    </row>
    <row r="53" spans="1:16" ht="13.5" thickBot="1">
      <c r="A53" s="34" t="s">
        <v>963</v>
      </c>
      <c r="P53" s="77"/>
    </row>
    <row r="54" spans="1:16" ht="18">
      <c r="A54" s="14" t="s">
        <v>924</v>
      </c>
      <c r="H54" s="16" t="s">
        <v>125</v>
      </c>
      <c r="I54" s="255"/>
      <c r="J54" s="255"/>
      <c r="K54" s="255"/>
      <c r="L54" s="256"/>
      <c r="P54" s="77"/>
    </row>
    <row r="55" spans="1:16" ht="14.25">
      <c r="H55" s="17" t="s">
        <v>901</v>
      </c>
      <c r="I55" s="25"/>
      <c r="J55" s="25"/>
      <c r="K55" s="25"/>
      <c r="L55" s="257"/>
      <c r="O55" s="77"/>
      <c r="P55" s="77"/>
    </row>
    <row r="56" spans="1:16" ht="14.25">
      <c r="B56" s="21" t="s">
        <v>49</v>
      </c>
      <c r="C56" s="7"/>
      <c r="D56" s="7"/>
      <c r="E56" s="303" t="s">
        <v>858</v>
      </c>
      <c r="H56" s="17" t="s">
        <v>909</v>
      </c>
      <c r="I56" s="25"/>
      <c r="J56" s="25"/>
      <c r="K56" s="25"/>
      <c r="L56" s="257"/>
      <c r="O56" s="77"/>
      <c r="P56" s="77"/>
    </row>
    <row r="57" spans="1:16">
      <c r="B57" s="6" t="s">
        <v>155</v>
      </c>
      <c r="C57" s="6"/>
      <c r="D57" s="6"/>
      <c r="E57" s="11"/>
      <c r="H57" s="18" t="s">
        <v>113</v>
      </c>
      <c r="I57" s="25"/>
      <c r="J57" s="25"/>
      <c r="K57" s="25"/>
      <c r="L57" s="257"/>
      <c r="O57" s="77"/>
      <c r="P57" s="77"/>
    </row>
    <row r="58" spans="1:16">
      <c r="B58" s="6" t="s">
        <v>156</v>
      </c>
      <c r="C58" s="6"/>
      <c r="D58" s="6"/>
      <c r="E58" s="11"/>
      <c r="F58" s="238"/>
      <c r="H58" s="8" t="s">
        <v>51</v>
      </c>
      <c r="I58" s="25"/>
      <c r="J58" s="25" t="s">
        <v>48</v>
      </c>
      <c r="K58" s="26" t="str">
        <f>IF((E57+E58)=1,Calculation!$C$66+Calculation!$C$67,"wrong")</f>
        <v>wrong</v>
      </c>
      <c r="L58" s="257"/>
    </row>
    <row r="59" spans="1:16">
      <c r="H59" s="8" t="s">
        <v>52</v>
      </c>
      <c r="I59" s="25"/>
      <c r="J59" s="25" t="s">
        <v>33</v>
      </c>
      <c r="K59" s="27">
        <f>+Calculation!$C$61</f>
        <v>0</v>
      </c>
      <c r="L59" s="257"/>
    </row>
    <row r="60" spans="1:16">
      <c r="B60" s="304"/>
      <c r="C60" s="77"/>
      <c r="D60" s="77"/>
      <c r="E60" s="77"/>
      <c r="H60" s="8" t="s">
        <v>53</v>
      </c>
      <c r="I60" s="25"/>
      <c r="J60" s="25" t="s">
        <v>33</v>
      </c>
      <c r="K60" s="27">
        <f>+Calculation!$C$62</f>
        <v>0</v>
      </c>
      <c r="L60" s="257"/>
    </row>
    <row r="61" spans="1:16">
      <c r="B61" s="6"/>
      <c r="C61" s="77"/>
      <c r="D61" s="77"/>
      <c r="E61" s="77"/>
      <c r="H61" s="8" t="s">
        <v>54</v>
      </c>
      <c r="I61" s="25"/>
      <c r="J61" s="25" t="s">
        <v>33</v>
      </c>
      <c r="K61" s="27">
        <f>+Calculation!$C$63</f>
        <v>0</v>
      </c>
      <c r="L61" s="257"/>
    </row>
    <row r="62" spans="1:16" ht="13.5" thickBot="1">
      <c r="B62" s="6"/>
      <c r="C62" s="77"/>
      <c r="D62" s="77"/>
      <c r="E62" s="77"/>
      <c r="H62" s="261"/>
      <c r="I62" s="262"/>
      <c r="J62" s="262"/>
      <c r="K62" s="262"/>
      <c r="L62" s="263"/>
    </row>
    <row r="63" spans="1:16" s="90" customFormat="1">
      <c r="B63" s="89"/>
      <c r="C63" s="249"/>
      <c r="D63" s="249"/>
      <c r="E63" s="249"/>
    </row>
    <row r="64" spans="1:16" s="274" customFormat="1" ht="3.6" customHeight="1">
      <c r="B64" s="208"/>
      <c r="E64" s="275"/>
      <c r="N64" s="275"/>
      <c r="O64" s="275"/>
      <c r="P64" s="275"/>
    </row>
    <row r="65" spans="1:16" ht="18">
      <c r="A65" s="13" t="s">
        <v>668</v>
      </c>
    </row>
    <row r="66" spans="1:16" ht="14.45" customHeight="1">
      <c r="A66" s="34" t="s">
        <v>988</v>
      </c>
      <c r="I66" s="312"/>
      <c r="J66" s="312"/>
      <c r="K66" s="312"/>
      <c r="L66" s="312"/>
      <c r="M66" s="312"/>
      <c r="N66" s="312"/>
    </row>
    <row r="67" spans="1:16" ht="14.45" customHeight="1">
      <c r="A67" s="34" t="s">
        <v>989</v>
      </c>
      <c r="I67" s="312"/>
      <c r="J67" s="312"/>
      <c r="K67" s="312"/>
      <c r="L67" s="312"/>
      <c r="M67" s="312"/>
      <c r="N67" s="312"/>
    </row>
    <row r="68" spans="1:16" ht="14.45" customHeight="1">
      <c r="A68" s="34" t="s">
        <v>990</v>
      </c>
      <c r="I68" s="312"/>
      <c r="J68" s="312"/>
      <c r="K68" s="312"/>
      <c r="L68" s="312"/>
      <c r="M68" s="312"/>
      <c r="N68" s="312"/>
    </row>
    <row r="69" spans="1:16" ht="14.45" customHeight="1">
      <c r="A69" s="34" t="s">
        <v>991</v>
      </c>
      <c r="I69" s="312"/>
      <c r="J69" s="312"/>
      <c r="K69" s="312"/>
      <c r="L69" s="312"/>
      <c r="M69" s="312"/>
      <c r="N69" s="312"/>
    </row>
    <row r="70" spans="1:16">
      <c r="A70" s="686"/>
      <c r="B70" s="77"/>
      <c r="C70" s="77"/>
      <c r="D70" s="77"/>
      <c r="I70" s="312"/>
      <c r="J70" s="312"/>
      <c r="K70" s="312"/>
      <c r="L70" s="312"/>
      <c r="M70" s="312"/>
      <c r="N70" s="312"/>
    </row>
    <row r="71" spans="1:16">
      <c r="B71" s="21" t="s">
        <v>47</v>
      </c>
      <c r="C71" s="9" t="s">
        <v>666</v>
      </c>
      <c r="D71" s="37"/>
      <c r="E71" s="28" t="s">
        <v>728</v>
      </c>
      <c r="I71" s="678"/>
      <c r="J71" s="312"/>
      <c r="K71" s="312"/>
      <c r="L71" s="312"/>
      <c r="M71" s="312"/>
      <c r="N71" s="312"/>
    </row>
    <row r="72" spans="1:16">
      <c r="B72" s="77"/>
      <c r="C72" s="305" t="e">
        <f>IF($E$7=VLOOKUP($E$7,Factors!$B$159:$C$390,1,FALSE),VLOOKUP($E$7,Factors!$B$159:$C$390,2,FALSE))</f>
        <v>#N/A</v>
      </c>
      <c r="D72" s="101" t="s">
        <v>728</v>
      </c>
      <c r="E72" s="323"/>
      <c r="G72" s="646"/>
      <c r="H72" s="646"/>
      <c r="I72" s="678"/>
      <c r="J72" s="312"/>
      <c r="K72" s="312"/>
      <c r="L72" s="678"/>
      <c r="M72" s="312"/>
      <c r="N72" s="312"/>
    </row>
    <row r="73" spans="1:16" s="90" customFormat="1">
      <c r="C73" s="307" t="s">
        <v>934</v>
      </c>
      <c r="E73" s="308"/>
      <c r="F73" s="14"/>
      <c r="G73" s="14"/>
      <c r="H73" s="14"/>
      <c r="I73" s="678"/>
      <c r="J73" s="679"/>
      <c r="K73" s="679"/>
      <c r="L73" s="678"/>
      <c r="M73" s="679"/>
      <c r="N73" s="679"/>
    </row>
    <row r="74" spans="1:16" s="90" customFormat="1">
      <c r="C74" s="307"/>
      <c r="E74" s="308"/>
      <c r="F74" s="14"/>
      <c r="G74" s="14"/>
      <c r="H74" s="14"/>
      <c r="I74" s="678"/>
      <c r="J74" s="679"/>
      <c r="K74" s="679"/>
      <c r="L74" s="678"/>
      <c r="M74" s="679"/>
      <c r="N74" s="679"/>
    </row>
    <row r="75" spans="1:16" s="90" customFormat="1">
      <c r="C75" s="307"/>
      <c r="E75" s="308"/>
      <c r="F75" s="14"/>
      <c r="G75" s="14"/>
      <c r="H75" s="14"/>
      <c r="I75" s="678"/>
      <c r="J75" s="678"/>
      <c r="K75" s="679"/>
      <c r="L75" s="678"/>
      <c r="M75" s="679"/>
      <c r="N75" s="679"/>
    </row>
    <row r="76" spans="1:16" s="274" customFormat="1" ht="3.6" customHeight="1">
      <c r="B76" s="208"/>
      <c r="E76" s="275"/>
      <c r="N76" s="275"/>
      <c r="O76" s="275"/>
      <c r="P76" s="275"/>
    </row>
    <row r="77" spans="1:16" ht="18">
      <c r="A77" s="98" t="s">
        <v>506</v>
      </c>
      <c r="F77" s="250"/>
    </row>
    <row r="78" spans="1:16">
      <c r="A78" s="110" t="s">
        <v>899</v>
      </c>
      <c r="F78" s="90"/>
    </row>
    <row r="79" spans="1:16">
      <c r="A79" s="110" t="s">
        <v>935</v>
      </c>
      <c r="F79" s="90"/>
    </row>
    <row r="80" spans="1:16" ht="15.75">
      <c r="A80" s="310" t="s">
        <v>900</v>
      </c>
      <c r="C80" s="90"/>
      <c r="D80" s="90"/>
      <c r="F80" s="90"/>
    </row>
    <row r="81" spans="1:6">
      <c r="A81" s="110" t="s">
        <v>979</v>
      </c>
      <c r="B81" s="101"/>
      <c r="C81" s="102"/>
      <c r="D81" s="311"/>
      <c r="E81" s="28"/>
      <c r="F81" s="90"/>
    </row>
    <row r="82" spans="1:6">
      <c r="A82" s="250"/>
      <c r="B82" s="101"/>
      <c r="C82" s="102"/>
      <c r="D82" s="311"/>
      <c r="E82" s="34"/>
      <c r="F82" s="90"/>
    </row>
    <row r="83" spans="1:6">
      <c r="A83" s="90"/>
      <c r="B83" s="9"/>
      <c r="C83" s="306"/>
      <c r="D83" s="94" t="s">
        <v>207</v>
      </c>
      <c r="E83" s="676"/>
      <c r="F83" s="90"/>
    </row>
    <row r="84" spans="1:6">
      <c r="A84" s="90"/>
      <c r="B84" s="34" t="s">
        <v>204</v>
      </c>
      <c r="C84" s="313" t="s">
        <v>729</v>
      </c>
      <c r="D84" s="314">
        <f>+Factors!$C$16</f>
        <v>1</v>
      </c>
      <c r="E84" s="677"/>
      <c r="F84" s="315"/>
    </row>
    <row r="85" spans="1:6">
      <c r="A85" s="90"/>
      <c r="B85" s="34" t="s">
        <v>205</v>
      </c>
      <c r="C85" s="313" t="s">
        <v>729</v>
      </c>
      <c r="D85" s="314">
        <f>+Factors!$C$18</f>
        <v>27.2</v>
      </c>
      <c r="E85" s="677"/>
      <c r="F85" s="90"/>
    </row>
    <row r="86" spans="1:6">
      <c r="A86" s="90"/>
      <c r="B86" s="14" t="s">
        <v>206</v>
      </c>
      <c r="C86" s="313" t="s">
        <v>729</v>
      </c>
      <c r="D86" s="314">
        <f>+Factors!$C$19</f>
        <v>29.8</v>
      </c>
      <c r="E86" s="677"/>
      <c r="F86" s="90"/>
    </row>
    <row r="87" spans="1:6">
      <c r="A87" s="90"/>
      <c r="B87" s="37" t="s">
        <v>196</v>
      </c>
      <c r="C87" s="316" t="s">
        <v>729</v>
      </c>
      <c r="D87" s="314">
        <f>+Factors!$C$20</f>
        <v>273</v>
      </c>
      <c r="E87" s="677"/>
      <c r="F87" s="90"/>
    </row>
    <row r="88" spans="1:6">
      <c r="A88" s="90"/>
      <c r="D88" s="108" t="s">
        <v>646</v>
      </c>
      <c r="E88" s="249"/>
      <c r="F88" s="315"/>
    </row>
    <row r="89" spans="1:6">
      <c r="F89" s="90"/>
    </row>
    <row r="90" spans="1:6">
      <c r="F90" s="90"/>
    </row>
  </sheetData>
  <sheetProtection password="AAA9" sheet="1" objects="1" scenarios="1"/>
  <mergeCells count="7">
    <mergeCell ref="A31:G32"/>
    <mergeCell ref="A4:F5"/>
    <mergeCell ref="C42:C43"/>
    <mergeCell ref="E7:F7"/>
    <mergeCell ref="H12:N13"/>
    <mergeCell ref="H14:N15"/>
    <mergeCell ref="A33:G34"/>
  </mergeCells>
  <phoneticPr fontId="5" type="noConversion"/>
  <conditionalFormatting sqref="E49">
    <cfRule type="cellIs" dxfId="65" priority="3" operator="equal">
      <formula>1</formula>
    </cfRule>
  </conditionalFormatting>
  <conditionalFormatting sqref="C49">
    <cfRule type="cellIs" dxfId="64" priority="2" operator="equal">
      <formula>1</formula>
    </cfRule>
  </conditionalFormatting>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8894C5-452E-4B02-AA62-94BDBC0AE878}">
          <x14:formula1>
            <xm:f>Factors!$B$159:$B$390</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9" tint="0.39997558519241921"/>
  </sheetPr>
  <dimension ref="A1:N63"/>
  <sheetViews>
    <sheetView zoomScaleNormal="100" workbookViewId="0"/>
  </sheetViews>
  <sheetFormatPr baseColWidth="10" defaultColWidth="11.5703125" defaultRowHeight="12.75"/>
  <cols>
    <col min="1" max="1" width="12.140625" style="14" customWidth="1"/>
    <col min="2" max="2" width="30.42578125" style="14" bestFit="1" customWidth="1"/>
    <col min="3" max="3" width="11.7109375" style="14" customWidth="1"/>
    <col min="4" max="4" width="12.85546875" style="14" customWidth="1"/>
    <col min="5" max="5" width="14.140625" style="14" customWidth="1"/>
    <col min="6" max="6" width="2.140625" style="77" customWidth="1"/>
    <col min="7" max="9" width="14" style="14" customWidth="1"/>
    <col min="10" max="13" width="11.5703125" style="14"/>
    <col min="14" max="14" width="19.85546875" style="14" customWidth="1"/>
    <col min="15" max="15" width="13" style="14" bestFit="1" customWidth="1"/>
    <col min="16" max="16384" width="11.5703125" style="14"/>
  </cols>
  <sheetData>
    <row r="1" spans="1:11" ht="16.5">
      <c r="E1" s="653" t="s">
        <v>948</v>
      </c>
    </row>
    <row r="3" spans="1:11" ht="18">
      <c r="A3" s="13" t="s">
        <v>539</v>
      </c>
      <c r="H3" s="231"/>
      <c r="J3" s="232"/>
      <c r="K3" s="232"/>
    </row>
    <row r="4" spans="1:11">
      <c r="A4" s="34" t="s">
        <v>902</v>
      </c>
      <c r="H4" s="231"/>
    </row>
    <row r="5" spans="1:11">
      <c r="A5" s="34" t="s">
        <v>903</v>
      </c>
    </row>
    <row r="6" spans="1:11" ht="13.15" customHeight="1">
      <c r="E6" s="233"/>
      <c r="H6" s="623"/>
      <c r="I6" s="622"/>
    </row>
    <row r="7" spans="1:11" ht="15">
      <c r="E7" s="623" t="s">
        <v>947</v>
      </c>
      <c r="F7" s="234"/>
      <c r="G7" s="29"/>
      <c r="H7" s="622"/>
      <c r="I7" s="622"/>
      <c r="J7" s="617"/>
    </row>
    <row r="8" spans="1:11" ht="15.75" thickBot="1">
      <c r="C8" s="29"/>
      <c r="D8" s="29"/>
      <c r="E8" s="235"/>
      <c r="F8" s="234"/>
      <c r="J8" s="617"/>
    </row>
    <row r="9" spans="1:11" ht="16.5" thickBot="1">
      <c r="E9" s="321" t="s">
        <v>946</v>
      </c>
      <c r="F9" s="236"/>
      <c r="G9" s="321" t="s">
        <v>945</v>
      </c>
      <c r="H9" s="321" t="s">
        <v>96</v>
      </c>
      <c r="I9" s="321" t="s">
        <v>97</v>
      </c>
    </row>
    <row r="10" spans="1:11" ht="18">
      <c r="A10" s="13" t="s">
        <v>31</v>
      </c>
      <c r="B10" s="23"/>
      <c r="E10" s="237"/>
      <c r="F10" s="82"/>
      <c r="G10" s="237"/>
      <c r="H10" s="237"/>
      <c r="I10" s="237"/>
      <c r="J10" s="238"/>
      <c r="K10" s="30" t="s">
        <v>127</v>
      </c>
    </row>
    <row r="11" spans="1:11" ht="15">
      <c r="A11" s="34" t="s">
        <v>1000</v>
      </c>
      <c r="B11" s="23"/>
      <c r="E11" s="29"/>
      <c r="F11" s="82"/>
      <c r="G11" s="237"/>
      <c r="H11" s="29"/>
      <c r="I11" s="237"/>
      <c r="J11" s="238"/>
    </row>
    <row r="12" spans="1:11">
      <c r="B12" s="23"/>
      <c r="E12" s="237"/>
      <c r="F12" s="82"/>
      <c r="G12" s="237"/>
      <c r="H12" s="237"/>
      <c r="I12" s="237"/>
    </row>
    <row r="13" spans="1:11">
      <c r="A13" s="31" t="s">
        <v>105</v>
      </c>
      <c r="B13" s="32" t="s">
        <v>106</v>
      </c>
      <c r="C13" s="10" t="s">
        <v>126</v>
      </c>
      <c r="D13" s="21"/>
      <c r="E13" s="15" t="s">
        <v>17</v>
      </c>
      <c r="F13" s="96"/>
      <c r="G13" s="15" t="s">
        <v>17</v>
      </c>
      <c r="H13" s="15" t="s">
        <v>17</v>
      </c>
      <c r="I13" s="15" t="s">
        <v>17</v>
      </c>
      <c r="J13" s="231"/>
      <c r="K13" s="239"/>
    </row>
    <row r="14" spans="1:11">
      <c r="B14" s="6" t="s">
        <v>20</v>
      </c>
      <c r="D14" s="6"/>
      <c r="E14" s="33"/>
      <c r="F14" s="82"/>
      <c r="G14" s="33"/>
      <c r="H14" s="33"/>
      <c r="I14" s="33"/>
      <c r="K14" s="239"/>
    </row>
    <row r="15" spans="1:11">
      <c r="B15" s="6" t="s">
        <v>21</v>
      </c>
      <c r="C15" s="6"/>
      <c r="D15" s="6"/>
      <c r="E15" s="33"/>
      <c r="F15" s="82"/>
      <c r="G15" s="33"/>
      <c r="H15" s="33"/>
      <c r="I15" s="33"/>
      <c r="K15" s="240"/>
    </row>
    <row r="16" spans="1:11">
      <c r="B16" s="6" t="s">
        <v>22</v>
      </c>
      <c r="C16" s="6"/>
      <c r="D16" s="6"/>
      <c r="E16" s="33"/>
      <c r="F16" s="82"/>
      <c r="G16" s="33"/>
      <c r="H16" s="33"/>
      <c r="I16" s="33"/>
      <c r="K16" s="239"/>
    </row>
    <row r="17" spans="1:10">
      <c r="B17" s="6" t="s">
        <v>143</v>
      </c>
      <c r="C17" s="6"/>
      <c r="D17" s="6"/>
      <c r="E17" s="33"/>
      <c r="F17" s="82"/>
      <c r="G17" s="33"/>
      <c r="H17" s="33"/>
      <c r="I17" s="33"/>
    </row>
    <row r="18" spans="1:10">
      <c r="B18" s="6" t="s">
        <v>94</v>
      </c>
      <c r="C18" s="6"/>
      <c r="D18" s="6"/>
      <c r="E18" s="33"/>
      <c r="F18" s="82"/>
      <c r="G18" s="33"/>
      <c r="H18" s="33"/>
      <c r="I18" s="33"/>
    </row>
    <row r="19" spans="1:10">
      <c r="F19" s="14"/>
    </row>
    <row r="20" spans="1:10" ht="18">
      <c r="A20" s="13" t="s">
        <v>541</v>
      </c>
    </row>
    <row r="21" spans="1:10">
      <c r="A21" s="34" t="s">
        <v>904</v>
      </c>
    </row>
    <row r="23" spans="1:10">
      <c r="A23" s="31" t="s">
        <v>105</v>
      </c>
      <c r="B23" s="32" t="s">
        <v>107</v>
      </c>
      <c r="C23" s="10" t="s">
        <v>126</v>
      </c>
      <c r="D23" s="21"/>
      <c r="E23" s="15" t="s">
        <v>17</v>
      </c>
      <c r="F23" s="96"/>
      <c r="G23" s="15" t="s">
        <v>17</v>
      </c>
      <c r="H23" s="15" t="s">
        <v>17</v>
      </c>
      <c r="I23" s="15" t="s">
        <v>17</v>
      </c>
      <c r="J23" s="231"/>
    </row>
    <row r="24" spans="1:10">
      <c r="B24" s="6" t="s">
        <v>90</v>
      </c>
      <c r="C24" s="6"/>
      <c r="D24" s="6"/>
      <c r="E24" s="33"/>
      <c r="F24" s="82"/>
      <c r="G24" s="33"/>
      <c r="H24" s="322"/>
      <c r="I24" s="322"/>
    </row>
    <row r="25" spans="1:10">
      <c r="B25" s="6" t="s">
        <v>99</v>
      </c>
      <c r="C25" s="6"/>
      <c r="D25" s="6"/>
      <c r="E25" s="33"/>
      <c r="F25" s="82"/>
      <c r="G25" s="33"/>
      <c r="H25" s="322"/>
      <c r="I25" s="322"/>
    </row>
    <row r="27" spans="1:10">
      <c r="A27" s="34" t="s">
        <v>905</v>
      </c>
    </row>
    <row r="28" spans="1:10">
      <c r="A28" s="34"/>
      <c r="E28" s="742" t="str">
        <f>IF((E24+E25)&gt;0,"fill in green cells","")</f>
        <v/>
      </c>
      <c r="G28" s="742" t="str">
        <f>IF((G24+G25)&gt;0,"fill in green cells","")</f>
        <v/>
      </c>
      <c r="H28" s="742" t="str">
        <f>IF((H24+H25)&gt;0,"fill in green cells","")</f>
        <v/>
      </c>
      <c r="I28" s="742" t="str">
        <f>IF((I24+I25)&gt;0,"fill in green cells","")</f>
        <v/>
      </c>
    </row>
    <row r="29" spans="1:10">
      <c r="E29" s="742"/>
      <c r="F29" s="618"/>
      <c r="G29" s="742"/>
      <c r="H29" s="742"/>
      <c r="I29" s="742"/>
    </row>
    <row r="30" spans="1:10">
      <c r="A30" s="31" t="s">
        <v>108</v>
      </c>
      <c r="B30" s="32" t="s">
        <v>110</v>
      </c>
      <c r="C30" s="32"/>
      <c r="D30" s="21"/>
      <c r="E30" s="15" t="s">
        <v>17</v>
      </c>
      <c r="F30" s="96"/>
      <c r="G30" s="15" t="s">
        <v>17</v>
      </c>
      <c r="H30" s="15" t="s">
        <v>17</v>
      </c>
      <c r="I30" s="15" t="s">
        <v>17</v>
      </c>
      <c r="J30" s="231"/>
    </row>
    <row r="31" spans="1:10">
      <c r="B31" s="34" t="s">
        <v>144</v>
      </c>
      <c r="E31" s="199"/>
      <c r="F31" s="82"/>
      <c r="G31" s="199"/>
      <c r="H31" s="199"/>
      <c r="I31" s="199"/>
    </row>
    <row r="32" spans="1:10">
      <c r="B32" s="9" t="s">
        <v>542</v>
      </c>
      <c r="C32" s="7"/>
      <c r="D32" s="7"/>
      <c r="E32" s="199"/>
      <c r="F32" s="82"/>
      <c r="G32" s="199"/>
      <c r="H32" s="199"/>
      <c r="I32" s="199"/>
    </row>
    <row r="33" spans="1:13">
      <c r="A33" s="90"/>
      <c r="B33" s="686" t="s">
        <v>36</v>
      </c>
      <c r="D33" s="34"/>
      <c r="E33" s="214" t="str">
        <f>IF(E31+E32=0,"",E31+E32)</f>
        <v/>
      </c>
      <c r="F33" s="213"/>
      <c r="G33" s="214" t="str">
        <f>IF(G31+G32=0,"",G31+G32)</f>
        <v/>
      </c>
      <c r="H33" s="214" t="str">
        <f>IF(H31+H32=0,"",H31+H32)</f>
        <v/>
      </c>
      <c r="I33" s="214" t="str">
        <f>IF(I31+I32=0,"",I31+I32)</f>
        <v/>
      </c>
    </row>
    <row r="34" spans="1:13">
      <c r="A34" s="90"/>
      <c r="B34" s="23"/>
      <c r="E34" s="81"/>
      <c r="F34" s="241"/>
      <c r="G34" s="81"/>
      <c r="H34" s="81"/>
      <c r="I34" s="81"/>
      <c r="J34" s="238"/>
    </row>
    <row r="35" spans="1:13">
      <c r="A35" s="110" t="s">
        <v>906</v>
      </c>
      <c r="B35" s="190"/>
      <c r="C35" s="90"/>
      <c r="D35" s="90"/>
      <c r="E35" s="81"/>
      <c r="F35" s="82"/>
      <c r="G35" s="81"/>
      <c r="H35" s="81"/>
      <c r="I35" s="81"/>
      <c r="J35" s="238"/>
    </row>
    <row r="36" spans="1:13">
      <c r="A36" s="110"/>
      <c r="B36" s="190"/>
      <c r="C36" s="90"/>
      <c r="D36" s="90"/>
      <c r="E36" s="742" t="str">
        <f>IF(E32&gt;0,"fill in green cells","")</f>
        <v/>
      </c>
      <c r="F36" s="82"/>
      <c r="G36" s="742" t="str">
        <f>IF(G32&gt;0,"fill in green cells","")</f>
        <v/>
      </c>
      <c r="H36" s="742" t="str">
        <f>IF(H32&gt;0,"fill in green cells","")</f>
        <v/>
      </c>
      <c r="I36" s="742" t="str">
        <f>IF(I32&gt;0,"fill in green cells","")</f>
        <v/>
      </c>
      <c r="J36" s="238"/>
    </row>
    <row r="37" spans="1:13">
      <c r="A37" s="90"/>
      <c r="B37" s="191" t="s">
        <v>545</v>
      </c>
      <c r="C37" s="99" t="s">
        <v>18</v>
      </c>
      <c r="D37" s="242"/>
      <c r="E37" s="743"/>
      <c r="F37" s="243"/>
      <c r="G37" s="743"/>
      <c r="H37" s="743"/>
      <c r="I37" s="743"/>
      <c r="J37" s="244"/>
    </row>
    <row r="38" spans="1:13">
      <c r="A38" s="90"/>
      <c r="B38" s="173" t="s">
        <v>282</v>
      </c>
      <c r="C38" s="274">
        <v>100</v>
      </c>
      <c r="D38" s="90"/>
      <c r="E38" s="323"/>
      <c r="F38" s="245"/>
      <c r="G38" s="323"/>
      <c r="H38" s="323"/>
      <c r="I38" s="323"/>
      <c r="J38" s="173" t="s">
        <v>543</v>
      </c>
    </row>
    <row r="39" spans="1:13">
      <c r="A39" s="90"/>
      <c r="B39" s="173" t="s">
        <v>491</v>
      </c>
      <c r="C39" s="647">
        <v>0.6</v>
      </c>
      <c r="D39" s="90"/>
      <c r="E39" s="199"/>
      <c r="F39" s="246"/>
      <c r="G39" s="199"/>
      <c r="H39" s="199"/>
      <c r="I39" s="199"/>
      <c r="J39" s="173" t="s">
        <v>544</v>
      </c>
    </row>
    <row r="40" spans="1:13">
      <c r="A40" s="90"/>
      <c r="B40" s="99" t="s">
        <v>536</v>
      </c>
      <c r="C40" s="247"/>
      <c r="D40" s="247"/>
      <c r="E40" s="15" t="s">
        <v>17</v>
      </c>
      <c r="F40" s="248"/>
      <c r="G40" s="15" t="s">
        <v>17</v>
      </c>
      <c r="H40" s="15" t="s">
        <v>17</v>
      </c>
      <c r="I40" s="15" t="s">
        <v>17</v>
      </c>
      <c r="J40" s="249"/>
    </row>
    <row r="41" spans="1:13">
      <c r="A41" s="250"/>
      <c r="B41" s="183" t="s">
        <v>546</v>
      </c>
      <c r="C41" s="249"/>
      <c r="D41" s="249"/>
      <c r="E41" s="199"/>
      <c r="F41" s="251"/>
      <c r="G41" s="199"/>
      <c r="H41" s="199"/>
      <c r="I41" s="199"/>
      <c r="J41" s="90"/>
    </row>
    <row r="42" spans="1:13">
      <c r="A42" s="250"/>
      <c r="B42" s="184" t="s">
        <v>797</v>
      </c>
      <c r="C42" s="242"/>
      <c r="D42" s="242"/>
      <c r="E42" s="199"/>
      <c r="F42" s="251"/>
      <c r="G42" s="199"/>
      <c r="H42" s="199"/>
      <c r="I42" s="199"/>
      <c r="J42" s="90"/>
    </row>
    <row r="43" spans="1:13">
      <c r="A43" s="250"/>
      <c r="B43" s="687" t="s">
        <v>36</v>
      </c>
      <c r="C43" s="90"/>
      <c r="D43" s="90"/>
      <c r="E43" s="214" t="str">
        <f>IF(E41+E42=0,"",E41+E42)</f>
        <v/>
      </c>
      <c r="F43" s="214"/>
      <c r="G43" s="214" t="str">
        <f>IF(G41+G42=0,"",G41+G42)</f>
        <v/>
      </c>
      <c r="H43" s="214" t="str">
        <f>IF(H41+H42=0,"",H41+H42)</f>
        <v/>
      </c>
      <c r="I43" s="214" t="str">
        <f>IF(I41+I42=0,"",I41+I42)</f>
        <v/>
      </c>
      <c r="J43" s="244"/>
    </row>
    <row r="44" spans="1:13">
      <c r="A44" s="250"/>
      <c r="B44" s="190"/>
      <c r="C44" s="90"/>
      <c r="D44" s="90"/>
      <c r="E44" s="81"/>
      <c r="F44" s="243"/>
      <c r="G44" s="81"/>
      <c r="H44" s="81"/>
      <c r="I44" s="81"/>
      <c r="J44" s="244"/>
    </row>
    <row r="45" spans="1:13" ht="13.5" thickBot="1">
      <c r="A45" s="250"/>
      <c r="B45" s="23"/>
      <c r="E45" s="81"/>
      <c r="F45" s="82"/>
      <c r="G45" s="81"/>
      <c r="H45" s="81"/>
      <c r="I45" s="81"/>
      <c r="J45" s="238"/>
    </row>
    <row r="46" spans="1:13" ht="16.5" customHeight="1" thickBot="1">
      <c r="A46" s="250"/>
      <c r="B46" s="174" t="s">
        <v>907</v>
      </c>
      <c r="C46" s="252"/>
      <c r="D46" s="252"/>
      <c r="E46" s="175" t="str">
        <f>IF(SUM(E14:E18,E24:E25)=0,"",Calculation!$D$80)</f>
        <v/>
      </c>
      <c r="F46" s="253"/>
      <c r="G46" s="175" t="str">
        <f>IF(SUM(G14:G18,G24:G25)=0,"",Calculation!$E$80)</f>
        <v/>
      </c>
      <c r="H46" s="175" t="str">
        <f>IF(SUM(H14:H18,H24:H25)=0,"",Calculation!$F$80)</f>
        <v/>
      </c>
      <c r="I46" s="175" t="str">
        <f>IF(SUM(I14:I18,I24:I25)=0,"",Calculation!$G$80)</f>
        <v/>
      </c>
      <c r="J46" s="254"/>
    </row>
    <row r="47" spans="1:13" ht="13.5" thickBot="1">
      <c r="A47" s="250"/>
      <c r="B47" s="23"/>
      <c r="E47" s="81"/>
      <c r="F47" s="82"/>
      <c r="G47" s="81"/>
      <c r="H47" s="81"/>
      <c r="I47" s="81"/>
      <c r="J47" s="238"/>
      <c r="M47" s="108"/>
    </row>
    <row r="48" spans="1:13" ht="18">
      <c r="A48" s="90"/>
      <c r="B48" s="16" t="s">
        <v>125</v>
      </c>
      <c r="C48" s="255"/>
      <c r="D48" s="255"/>
      <c r="E48" s="255"/>
      <c r="F48" s="255"/>
      <c r="G48" s="255"/>
      <c r="H48" s="255"/>
      <c r="I48" s="255"/>
      <c r="J48" s="256"/>
    </row>
    <row r="49" spans="2:14" ht="13.9" customHeight="1">
      <c r="B49" s="17" t="s">
        <v>95</v>
      </c>
      <c r="C49" s="25"/>
      <c r="D49" s="25"/>
      <c r="E49" s="25"/>
      <c r="F49" s="25"/>
      <c r="G49" s="25"/>
      <c r="H49" s="25"/>
      <c r="I49" s="25"/>
      <c r="J49" s="257"/>
    </row>
    <row r="50" spans="2:14" ht="14.25">
      <c r="B50" s="17" t="s">
        <v>908</v>
      </c>
      <c r="C50" s="25"/>
      <c r="D50" s="25"/>
      <c r="E50" s="25"/>
      <c r="F50" s="25"/>
      <c r="G50" s="25"/>
      <c r="H50" s="25"/>
      <c r="I50" s="25"/>
      <c r="J50" s="257"/>
      <c r="N50" s="34"/>
    </row>
    <row r="51" spans="2:14">
      <c r="B51" s="258"/>
      <c r="C51" s="25"/>
      <c r="D51" s="25"/>
      <c r="E51" s="25"/>
      <c r="F51" s="25"/>
      <c r="G51" s="25"/>
      <c r="H51" s="25"/>
      <c r="I51" s="25"/>
      <c r="J51" s="257"/>
    </row>
    <row r="52" spans="2:14">
      <c r="B52" s="18" t="s">
        <v>50</v>
      </c>
      <c r="C52" s="25"/>
      <c r="D52" s="25"/>
      <c r="E52" s="35" t="str">
        <f>+E9</f>
        <v>Status Quo</v>
      </c>
      <c r="F52" s="35"/>
      <c r="G52" s="35" t="str">
        <f>+G9</f>
        <v>Scenario 1</v>
      </c>
      <c r="H52" s="35" t="str">
        <f>+H9</f>
        <v>Scenario 2</v>
      </c>
      <c r="I52" s="35" t="str">
        <f>+I9</f>
        <v>Scenario 3</v>
      </c>
      <c r="J52" s="257"/>
    </row>
    <row r="53" spans="2:14">
      <c r="B53" s="8" t="s">
        <v>51</v>
      </c>
      <c r="C53" s="25" t="s">
        <v>48</v>
      </c>
      <c r="D53" s="25"/>
      <c r="E53" s="26" t="str">
        <f>IF(SUM(E14:E18,E24:E25)=0,"",IF((Start!$E$57+Start!$E$58)=1,Calculation!$D$123+Calculation!$D$124,"wrong"))</f>
        <v/>
      </c>
      <c r="F53" s="259"/>
      <c r="G53" s="26" t="str">
        <f>IF(SUM(G14:G18,G24:G25)=0,"",IF(SUM(Start!$E$57:$E$58)=1,Calculation!$E$123+Calculation!$E$124,"wrong"))</f>
        <v/>
      </c>
      <c r="H53" s="26" t="str">
        <f>IF(SUM(H14:H18,H24:H25)=0,"",IF(SUM(Start!$E$57:$E$58)=1,Calculation!$F$123+Calculation!$F$124,"wrong"))</f>
        <v/>
      </c>
      <c r="I53" s="26" t="str">
        <f>IF(SUM(I14:I18,I24:I25)=0,"",IF(SUM(Start!$E$57:$E$58)=1,Calculation!$G$123+Calculation!$G$124,"wrong"))</f>
        <v/>
      </c>
      <c r="J53" s="257"/>
    </row>
    <row r="54" spans="2:14">
      <c r="B54" s="8" t="s">
        <v>52</v>
      </c>
      <c r="C54" s="25" t="s">
        <v>33</v>
      </c>
      <c r="D54" s="25"/>
      <c r="E54" s="675" t="str">
        <f>IF(SUM($E$14:$E$18,$E$24:$E$25)=0,"",Calculation!$D$118)</f>
        <v/>
      </c>
      <c r="F54" s="260"/>
      <c r="G54" s="27" t="str">
        <f>IF(SUM($G$14:$G$18,$G$24:$G$25)=0,"",Calculation!$E$118)</f>
        <v/>
      </c>
      <c r="H54" s="27" t="str">
        <f>IF(SUM($H$14:$H$18,$H$24:$H$25)=0,"",Calculation!$F$118)</f>
        <v/>
      </c>
      <c r="I54" s="27" t="str">
        <f>IF(SUM($I$14:$I$18,$I$24:$I$25)=0,"",Calculation!$G$118)</f>
        <v/>
      </c>
      <c r="J54" s="257"/>
    </row>
    <row r="55" spans="2:14">
      <c r="B55" s="8" t="s">
        <v>53</v>
      </c>
      <c r="C55" s="25" t="s">
        <v>33</v>
      </c>
      <c r="D55" s="25"/>
      <c r="E55" s="675" t="str">
        <f>IF(SUM($E$14:$E$18,$E$24:$E$25)=0,"",Calculation!$D$119)</f>
        <v/>
      </c>
      <c r="F55" s="260"/>
      <c r="G55" s="27" t="str">
        <f>IF(SUM($G$14:$G$18,$G$24:$G$25)=0,"",Calculation!$E$119)</f>
        <v/>
      </c>
      <c r="H55" s="27" t="str">
        <f>IF(SUM($H$14:$H$18,$H$24:$H$25)=0,"",Calculation!$F$119)</f>
        <v/>
      </c>
      <c r="I55" s="27" t="str">
        <f>IF(SUM($I$14:$I$18,$I$24:$I$25)=0,"",Calculation!$G$119)</f>
        <v/>
      </c>
      <c r="J55" s="257"/>
    </row>
    <row r="56" spans="2:14">
      <c r="B56" s="8" t="s">
        <v>54</v>
      </c>
      <c r="C56" s="25" t="s">
        <v>33</v>
      </c>
      <c r="D56" s="25"/>
      <c r="E56" s="675" t="str">
        <f>IF(SUM($E$14:$E$18,$E$24:$E$25)=0,"",Calculation!$D$120)</f>
        <v/>
      </c>
      <c r="F56" s="260"/>
      <c r="G56" s="27" t="str">
        <f>IF(SUM($G$14:$G$18,$G$24:$G$25)=0,"",Calculation!$E$120)</f>
        <v/>
      </c>
      <c r="H56" s="27" t="str">
        <f>IF(SUM($H$14:$H$18,$H$24:$H$25)=0,"",Calculation!$F$120)</f>
        <v/>
      </c>
      <c r="I56" s="27" t="str">
        <f>IF(SUM($I$14:$I$18,$I$24:$I$25)=0,"",Calculation!$G$120)</f>
        <v/>
      </c>
      <c r="J56" s="257"/>
      <c r="K56" s="238"/>
    </row>
    <row r="57" spans="2:14" ht="13.5" thickBot="1">
      <c r="B57" s="261"/>
      <c r="C57" s="262"/>
      <c r="D57" s="262"/>
      <c r="E57" s="262"/>
      <c r="F57" s="262"/>
      <c r="G57" s="262"/>
      <c r="H57" s="262"/>
      <c r="I57" s="262"/>
      <c r="J57" s="263"/>
    </row>
    <row r="58" spans="2:14">
      <c r="K58" s="240"/>
      <c r="N58" s="249"/>
    </row>
    <row r="59" spans="2:14">
      <c r="F59" s="249"/>
      <c r="H59" s="212"/>
      <c r="I59" s="249"/>
      <c r="K59" s="239"/>
    </row>
    <row r="60" spans="2:14">
      <c r="F60" s="249"/>
      <c r="H60" s="249"/>
      <c r="I60" s="249"/>
    </row>
    <row r="61" spans="2:14">
      <c r="F61" s="249"/>
      <c r="H61" s="249"/>
      <c r="I61" s="249"/>
    </row>
    <row r="62" spans="2:14">
      <c r="F62" s="249"/>
      <c r="H62" s="249"/>
      <c r="I62" s="249"/>
    </row>
    <row r="63" spans="2:14">
      <c r="F63" s="249"/>
      <c r="H63" s="249"/>
      <c r="I63" s="249"/>
    </row>
  </sheetData>
  <sheetProtection password="AAA9" sheet="1" objects="1" scenarios="1"/>
  <mergeCells count="8">
    <mergeCell ref="E36:E37"/>
    <mergeCell ref="G36:G37"/>
    <mergeCell ref="I36:I37"/>
    <mergeCell ref="H36:H37"/>
    <mergeCell ref="E28:E29"/>
    <mergeCell ref="G28:G29"/>
    <mergeCell ref="I28:I29"/>
    <mergeCell ref="H28:H29"/>
  </mergeCells>
  <phoneticPr fontId="5" type="noConversion"/>
  <conditionalFormatting sqref="E31:E32">
    <cfRule type="expression" dxfId="63" priority="18">
      <formula>IF(AND(OR(E$24="",E$24=0),OR(E$25="",E$25=0)),1,0)</formula>
    </cfRule>
  </conditionalFormatting>
  <conditionalFormatting sqref="G31">
    <cfRule type="expression" dxfId="62" priority="16">
      <formula>IF(AND(OR(G$24="",G$24=0),OR(G$25="",G$25=0)),1,0)</formula>
    </cfRule>
  </conditionalFormatting>
  <conditionalFormatting sqref="G32">
    <cfRule type="expression" dxfId="61" priority="15">
      <formula>IF(AND(OR(G$24="",G$24=0),OR(G$25="",G$25=0)),1,0)</formula>
    </cfRule>
  </conditionalFormatting>
  <conditionalFormatting sqref="H31:I31">
    <cfRule type="expression" dxfId="60" priority="14">
      <formula>IF(AND(OR(H$24="",H$24=0),OR(H$25="",H$25=0)),1,0)</formula>
    </cfRule>
  </conditionalFormatting>
  <conditionalFormatting sqref="H32:I32">
    <cfRule type="expression" dxfId="59" priority="13">
      <formula>IF(AND(OR(H$24="",H$24=0),OR(H$25="",H$25=0)),1,0)</formula>
    </cfRule>
  </conditionalFormatting>
  <conditionalFormatting sqref="E38:E39 E41:E42">
    <cfRule type="expression" dxfId="58" priority="12">
      <formula>IF(OR(E$32="",E$32=0),1,0)</formula>
    </cfRule>
  </conditionalFormatting>
  <conditionalFormatting sqref="G38">
    <cfRule type="expression" dxfId="57" priority="9">
      <formula>IF(OR(G$32="",G$32=0),1,0)</formula>
    </cfRule>
  </conditionalFormatting>
  <conditionalFormatting sqref="G39">
    <cfRule type="expression" dxfId="56" priority="8">
      <formula>IF(OR(G$32="",G$32=0),1,0)</formula>
    </cfRule>
  </conditionalFormatting>
  <conditionalFormatting sqref="G41:G42">
    <cfRule type="expression" dxfId="55" priority="7">
      <formula>IF(OR(G$32="",G$32=0),1,0)</formula>
    </cfRule>
  </conditionalFormatting>
  <conditionalFormatting sqref="H38:I38">
    <cfRule type="expression" dxfId="54" priority="6">
      <formula>IF(OR(H$32="",H$32=0),1,0)</formula>
    </cfRule>
  </conditionalFormatting>
  <conditionalFormatting sqref="H39:I39">
    <cfRule type="expression" dxfId="53" priority="5">
      <formula>IF(OR(H$32="",H$32=0),1,0)</formula>
    </cfRule>
  </conditionalFormatting>
  <conditionalFormatting sqref="H41:I42">
    <cfRule type="expression" dxfId="52" priority="4">
      <formula>IF(OR(H$32="",H$32=0),1,0)</formula>
    </cfRule>
  </conditionalFormatting>
  <conditionalFormatting sqref="E33:I33">
    <cfRule type="cellIs" dxfId="51" priority="3" operator="equal">
      <formula>1</formula>
    </cfRule>
  </conditionalFormatting>
  <conditionalFormatting sqref="E43:I43 E33:I33">
    <cfRule type="cellIs" dxfId="50" priority="2" operator="equal">
      <formula>1</formula>
    </cfRule>
  </conditionalFormatting>
  <pageMargins left="0.78740157499999996" right="0.78740157499999996" top="0.984251969" bottom="0.984251969" header="0.4921259845" footer="0.4921259845"/>
  <pageSetup paperSize="9" orientation="portrait" r:id="rId1"/>
  <headerFooter alignWithMargins="0"/>
  <ignoredErrors>
    <ignoredError sqref="G36 H36:I36 E36"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9" tint="0.39997558519241921"/>
  </sheetPr>
  <dimension ref="A1:Y133"/>
  <sheetViews>
    <sheetView zoomScaleNormal="100" workbookViewId="0"/>
  </sheetViews>
  <sheetFormatPr baseColWidth="10" defaultColWidth="11.5703125" defaultRowHeight="12.75"/>
  <cols>
    <col min="1" max="1" width="13.140625" style="34" customWidth="1"/>
    <col min="2" max="2" width="30.42578125" style="34" bestFit="1" customWidth="1"/>
    <col min="3" max="3" width="11.5703125" style="34"/>
    <col min="4" max="4" width="12.140625" style="34" customWidth="1"/>
    <col min="5" max="5" width="14" style="34" customWidth="1"/>
    <col min="6" max="6" width="2.85546875" style="325" customWidth="1"/>
    <col min="7" max="9" width="14" style="34" customWidth="1"/>
    <col min="10" max="11" width="11.5703125" style="34"/>
    <col min="12" max="12" width="17.140625" style="34" customWidth="1"/>
    <col min="13" max="13" width="12.85546875" style="34" customWidth="1"/>
    <col min="14" max="14" width="13.28515625" style="34" customWidth="1"/>
    <col min="15" max="15" width="13.85546875" style="34" customWidth="1"/>
    <col min="16" max="16" width="20" style="34" customWidth="1"/>
    <col min="17" max="17" width="18.28515625" style="34" customWidth="1"/>
    <col min="18" max="18" width="14.7109375" style="34" customWidth="1"/>
    <col min="19" max="16384" width="11.5703125" style="34"/>
  </cols>
  <sheetData>
    <row r="1" spans="1:14" ht="16.5">
      <c r="E1" s="653" t="s">
        <v>948</v>
      </c>
    </row>
    <row r="3" spans="1:14" ht="18">
      <c r="A3" s="13" t="s">
        <v>109</v>
      </c>
      <c r="G3" s="324"/>
      <c r="K3" s="326"/>
    </row>
    <row r="4" spans="1:14">
      <c r="A4" s="34" t="s">
        <v>910</v>
      </c>
      <c r="K4" s="239"/>
    </row>
    <row r="5" spans="1:14">
      <c r="A5" s="110" t="s">
        <v>911</v>
      </c>
      <c r="E5" s="327"/>
      <c r="F5" s="328"/>
    </row>
    <row r="6" spans="1:14">
      <c r="A6" s="110" t="s">
        <v>964</v>
      </c>
      <c r="E6" s="327"/>
      <c r="F6" s="328"/>
    </row>
    <row r="7" spans="1:14">
      <c r="H7" s="327"/>
    </row>
    <row r="8" spans="1:14" ht="15.75">
      <c r="A8" s="28"/>
      <c r="B8" s="28" t="s">
        <v>883</v>
      </c>
      <c r="E8" s="114" t="str">
        <f>+Recycling!$E$9</f>
        <v>Status Quo</v>
      </c>
      <c r="F8" s="329"/>
      <c r="G8" s="114" t="str">
        <f>+Recycling!$G$9</f>
        <v>Scenario 1</v>
      </c>
      <c r="H8" s="114" t="str">
        <f>+Recycling!$H$9</f>
        <v>Scenario 2</v>
      </c>
      <c r="I8" s="114" t="str">
        <f>+Recycling!$I$9</f>
        <v>Scenario 3</v>
      </c>
      <c r="K8" s="107"/>
    </row>
    <row r="9" spans="1:14">
      <c r="A9" s="9"/>
      <c r="B9" s="330"/>
      <c r="C9" s="21"/>
      <c r="D9" s="21"/>
      <c r="E9" s="15" t="s">
        <v>17</v>
      </c>
      <c r="F9" s="331"/>
      <c r="G9" s="96" t="s">
        <v>17</v>
      </c>
      <c r="H9" s="96" t="s">
        <v>17</v>
      </c>
      <c r="I9" s="96" t="s">
        <v>17</v>
      </c>
      <c r="J9" s="231"/>
      <c r="K9" s="332"/>
      <c r="N9" s="292"/>
    </row>
    <row r="10" spans="1:14">
      <c r="A10" s="745" t="s">
        <v>985</v>
      </c>
      <c r="B10" s="222" t="s">
        <v>145</v>
      </c>
      <c r="C10" s="238"/>
      <c r="E10" s="105"/>
      <c r="G10" s="105"/>
      <c r="H10" s="105"/>
      <c r="I10" s="105"/>
      <c r="J10" s="333"/>
    </row>
    <row r="11" spans="1:14">
      <c r="A11" s="745"/>
      <c r="B11" s="211" t="s">
        <v>884</v>
      </c>
      <c r="C11" s="334"/>
      <c r="D11" s="101"/>
      <c r="E11" s="105"/>
      <c r="G11" s="105"/>
      <c r="H11" s="105"/>
      <c r="I11" s="105"/>
      <c r="J11" s="102"/>
    </row>
    <row r="12" spans="1:14">
      <c r="A12" s="745"/>
      <c r="B12" s="223" t="s">
        <v>178</v>
      </c>
      <c r="C12" s="335"/>
      <c r="D12" s="9"/>
      <c r="E12" s="105"/>
      <c r="G12" s="105"/>
      <c r="H12" s="105"/>
      <c r="I12" s="105"/>
      <c r="J12" s="333"/>
    </row>
    <row r="13" spans="1:14">
      <c r="A13" s="746" t="s">
        <v>149</v>
      </c>
      <c r="B13" s="101" t="s">
        <v>146</v>
      </c>
      <c r="C13" s="231"/>
      <c r="D13" s="101"/>
      <c r="E13" s="105"/>
      <c r="G13" s="105"/>
      <c r="H13" s="105"/>
      <c r="I13" s="105"/>
      <c r="J13" s="102"/>
    </row>
    <row r="14" spans="1:14">
      <c r="A14" s="746"/>
      <c r="B14" s="101" t="s">
        <v>147</v>
      </c>
      <c r="C14" s="101"/>
      <c r="D14" s="101"/>
      <c r="E14" s="106"/>
      <c r="G14" s="105"/>
      <c r="H14" s="105"/>
      <c r="I14" s="105"/>
      <c r="J14" s="102"/>
    </row>
    <row r="15" spans="1:14">
      <c r="A15" s="746"/>
      <c r="B15" s="9" t="s">
        <v>32</v>
      </c>
      <c r="C15" s="335"/>
      <c r="D15" s="9"/>
      <c r="E15" s="106"/>
      <c r="F15" s="336"/>
      <c r="G15" s="105"/>
      <c r="H15" s="105"/>
      <c r="I15" s="105"/>
      <c r="J15" s="231"/>
      <c r="K15" s="709" t="s">
        <v>32</v>
      </c>
      <c r="L15" s="709"/>
      <c r="M15" s="709" t="s">
        <v>1011</v>
      </c>
    </row>
    <row r="16" spans="1:14">
      <c r="A16" s="746" t="s">
        <v>148</v>
      </c>
      <c r="B16" s="101" t="s">
        <v>515</v>
      </c>
      <c r="C16" s="337"/>
      <c r="D16" s="102"/>
      <c r="E16" s="106"/>
      <c r="F16" s="336"/>
      <c r="G16" s="106"/>
      <c r="H16" s="106"/>
      <c r="I16" s="106"/>
      <c r="K16" s="709" t="s">
        <v>1008</v>
      </c>
      <c r="L16" s="709"/>
      <c r="M16" s="709" t="s">
        <v>1012</v>
      </c>
    </row>
    <row r="17" spans="1:16">
      <c r="A17" s="746"/>
      <c r="B17" s="101" t="s">
        <v>516</v>
      </c>
      <c r="C17" s="337"/>
      <c r="D17" s="102"/>
      <c r="E17" s="181"/>
      <c r="F17" s="336"/>
      <c r="G17" s="181"/>
      <c r="H17" s="182"/>
      <c r="I17" s="182"/>
      <c r="J17" s="110"/>
      <c r="K17" s="709"/>
      <c r="L17" s="709"/>
      <c r="M17" s="710" t="s">
        <v>1010</v>
      </c>
    </row>
    <row r="18" spans="1:16">
      <c r="A18" s="746"/>
      <c r="B18" s="101" t="s">
        <v>648</v>
      </c>
      <c r="C18" s="337"/>
      <c r="D18" s="102"/>
      <c r="E18" s="106"/>
      <c r="F18" s="336"/>
      <c r="G18" s="106"/>
      <c r="H18" s="106"/>
      <c r="I18" s="106"/>
      <c r="J18" s="231"/>
      <c r="K18" s="709" t="s">
        <v>648</v>
      </c>
      <c r="L18" s="709"/>
      <c r="M18" s="709" t="s">
        <v>1009</v>
      </c>
    </row>
    <row r="19" spans="1:16">
      <c r="A19" s="746"/>
      <c r="B19" s="9" t="s">
        <v>27</v>
      </c>
      <c r="C19" s="99"/>
      <c r="D19" s="338"/>
      <c r="E19" s="106"/>
      <c r="F19" s="336"/>
      <c r="G19" s="106"/>
      <c r="H19" s="106"/>
      <c r="I19" s="106"/>
      <c r="K19" s="339"/>
    </row>
    <row r="20" spans="1:16">
      <c r="B20" s="686" t="s">
        <v>36</v>
      </c>
      <c r="E20" s="213" t="str">
        <f>IF(SUM(E10:E19)=0,"",SUM(E10:E19))</f>
        <v/>
      </c>
      <c r="F20" s="340"/>
      <c r="G20" s="213" t="str">
        <f>IF(SUM(G10:G19)=0,"",SUM(G10:G19))</f>
        <v/>
      </c>
      <c r="H20" s="213" t="str">
        <f>IF(SUM(H10:H19)=0,"",SUM(H10:H19))</f>
        <v/>
      </c>
      <c r="I20" s="213" t="str">
        <f>IF(SUM(I10:I19)=0,"",SUM(I10:I19))</f>
        <v/>
      </c>
    </row>
    <row r="21" spans="1:16">
      <c r="C21" s="292"/>
      <c r="K21" s="341"/>
      <c r="N21" s="292"/>
    </row>
    <row r="22" spans="1:16" ht="18">
      <c r="A22" s="13" t="s">
        <v>26</v>
      </c>
      <c r="C22" s="342"/>
      <c r="N22" s="292"/>
    </row>
    <row r="23" spans="1:16" ht="14.45" customHeight="1">
      <c r="A23" s="34" t="s">
        <v>912</v>
      </c>
      <c r="N23" s="292"/>
    </row>
    <row r="24" spans="1:16" ht="14.45" customHeight="1">
      <c r="N24" s="292"/>
    </row>
    <row r="25" spans="1:16" s="274" customFormat="1" ht="3.6" customHeight="1">
      <c r="B25" s="208"/>
      <c r="E25" s="275"/>
      <c r="N25" s="275"/>
      <c r="O25" s="275"/>
      <c r="P25" s="275"/>
    </row>
    <row r="26" spans="1:16" ht="15.75">
      <c r="A26" s="75" t="s">
        <v>719</v>
      </c>
      <c r="E26" s="114" t="str">
        <f>+Recycling!$E$9</f>
        <v>Status Quo</v>
      </c>
      <c r="F26" s="329"/>
      <c r="G26" s="114" t="str">
        <f>+Recycling!$G$9</f>
        <v>Scenario 1</v>
      </c>
      <c r="H26" s="114" t="str">
        <f>+Recycling!$H$9</f>
        <v>Scenario 2</v>
      </c>
      <c r="I26" s="114" t="str">
        <f>+Recycling!$I$9</f>
        <v>Scenario 3</v>
      </c>
    </row>
    <row r="27" spans="1:16">
      <c r="A27" s="202" t="s">
        <v>517</v>
      </c>
      <c r="L27" s="276" t="s">
        <v>987</v>
      </c>
      <c r="M27" s="343"/>
      <c r="N27" s="343"/>
      <c r="O27" s="343"/>
      <c r="P27" s="344"/>
    </row>
    <row r="28" spans="1:16">
      <c r="A28" s="102" t="s">
        <v>965</v>
      </c>
      <c r="B28" s="101"/>
      <c r="C28" s="101"/>
      <c r="D28" s="101"/>
      <c r="E28" s="101"/>
      <c r="K28" s="292"/>
      <c r="L28" s="345" t="s">
        <v>917</v>
      </c>
      <c r="M28" s="346" t="s">
        <v>490</v>
      </c>
      <c r="N28" s="346" t="s">
        <v>226</v>
      </c>
      <c r="O28" s="288"/>
      <c r="P28" s="347"/>
    </row>
    <row r="29" spans="1:16">
      <c r="A29" s="110" t="s">
        <v>913</v>
      </c>
      <c r="B29" s="101"/>
      <c r="C29" s="101"/>
      <c r="D29" s="101"/>
      <c r="K29" s="110"/>
      <c r="L29" s="205"/>
      <c r="M29" s="346">
        <f>+Factors!$C$107</f>
        <v>1</v>
      </c>
      <c r="N29" s="346" t="s">
        <v>229</v>
      </c>
      <c r="O29" s="288"/>
      <c r="P29" s="347"/>
    </row>
    <row r="30" spans="1:16">
      <c r="A30" s="110"/>
      <c r="B30" s="101"/>
      <c r="C30" s="101"/>
      <c r="D30" s="101"/>
      <c r="E30" s="742" t="str">
        <f>IF(E12+E13+E14&gt;0,"fill in green cells","")</f>
        <v/>
      </c>
      <c r="G30" s="742" t="str">
        <f>IF(G12+G13+G14&gt;0,"fill in green cells","")</f>
        <v/>
      </c>
      <c r="H30" s="742" t="str">
        <f>IF(H12+H13+H14&gt;0,"fill in green cells","")</f>
        <v/>
      </c>
      <c r="I30" s="742" t="str">
        <f>IF(I12+I13+I14&gt;0,"fill in green cells","")</f>
        <v/>
      </c>
      <c r="K30" s="110"/>
      <c r="L30" s="205"/>
      <c r="M30" s="346">
        <f>+Factors!$C$108</f>
        <v>0.5</v>
      </c>
      <c r="N30" s="348" t="s">
        <v>231</v>
      </c>
      <c r="O30" s="288"/>
      <c r="P30" s="347"/>
    </row>
    <row r="31" spans="1:16">
      <c r="A31" s="110"/>
      <c r="B31" s="9"/>
      <c r="C31" s="9"/>
      <c r="D31" s="9"/>
      <c r="E31" s="743"/>
      <c r="G31" s="743"/>
      <c r="H31" s="743"/>
      <c r="I31" s="743"/>
      <c r="K31" s="110"/>
      <c r="L31" s="205"/>
      <c r="M31" s="346">
        <f>+Factors!$C$109</f>
        <v>0.7</v>
      </c>
      <c r="N31" s="348" t="s">
        <v>233</v>
      </c>
      <c r="O31" s="288"/>
      <c r="P31" s="347"/>
    </row>
    <row r="32" spans="1:16">
      <c r="A32" s="202"/>
      <c r="B32" s="110" t="str">
        <f>+B12</f>
        <v>Wild dumps/unmanaged disposal site</v>
      </c>
      <c r="C32" s="110"/>
      <c r="D32" s="110"/>
      <c r="E32" s="109"/>
      <c r="F32" s="349"/>
      <c r="G32" s="109"/>
      <c r="H32" s="109"/>
      <c r="I32" s="109"/>
      <c r="J32" s="110"/>
      <c r="K32" s="202"/>
      <c r="L32" s="205"/>
      <c r="M32" s="346">
        <f>+Factors!$C$110</f>
        <v>0.4</v>
      </c>
      <c r="N32" s="348" t="s">
        <v>235</v>
      </c>
      <c r="O32" s="288"/>
      <c r="P32" s="347"/>
    </row>
    <row r="33" spans="1:16">
      <c r="A33" s="202"/>
      <c r="B33" s="110" t="str">
        <f>+B13</f>
        <v>Controlled dump/landfill without gas collection</v>
      </c>
      <c r="C33" s="111"/>
      <c r="D33" s="111"/>
      <c r="E33" s="109"/>
      <c r="F33" s="349"/>
      <c r="G33" s="109"/>
      <c r="H33" s="109"/>
      <c r="I33" s="109"/>
      <c r="J33" s="110"/>
      <c r="L33" s="205"/>
      <c r="M33" s="346">
        <f>+Factors!$C$111</f>
        <v>0.7</v>
      </c>
      <c r="N33" s="348" t="s">
        <v>237</v>
      </c>
      <c r="O33" s="288"/>
      <c r="P33" s="347"/>
    </row>
    <row r="34" spans="1:16">
      <c r="A34" s="202"/>
      <c r="B34" s="110" t="str">
        <f>+B14</f>
        <v>Sanitary landfill with gas collection</v>
      </c>
      <c r="C34" s="111"/>
      <c r="D34" s="112"/>
      <c r="E34" s="109"/>
      <c r="F34" s="349"/>
      <c r="G34" s="109"/>
      <c r="H34" s="109"/>
      <c r="I34" s="109"/>
      <c r="J34" s="110"/>
      <c r="L34" s="205"/>
      <c r="M34" s="346">
        <f>+Factors!$C$112</f>
        <v>0.8</v>
      </c>
      <c r="N34" s="353" t="s">
        <v>239</v>
      </c>
      <c r="O34" s="288"/>
      <c r="P34" s="347"/>
    </row>
    <row r="35" spans="1:16">
      <c r="A35" s="202"/>
      <c r="C35" s="350"/>
      <c r="D35" s="351"/>
      <c r="E35" s="352"/>
      <c r="F35" s="34"/>
      <c r="G35" s="101"/>
      <c r="H35" s="101"/>
      <c r="I35" s="101"/>
      <c r="J35" s="110"/>
      <c r="L35" s="205"/>
      <c r="M35" s="346">
        <f>+Factors!$C$113</f>
        <v>0.4</v>
      </c>
      <c r="N35" s="346" t="s">
        <v>241</v>
      </c>
      <c r="O35" s="288"/>
      <c r="P35" s="347"/>
    </row>
    <row r="36" spans="1:16">
      <c r="A36" s="202" t="s">
        <v>540</v>
      </c>
      <c r="L36" s="205"/>
      <c r="M36" s="346">
        <f>+Factors!$C$114</f>
        <v>0.6</v>
      </c>
      <c r="N36" s="346" t="s">
        <v>243</v>
      </c>
      <c r="O36" s="288"/>
      <c r="P36" s="347"/>
    </row>
    <row r="37" spans="1:16">
      <c r="A37" s="110" t="s">
        <v>914</v>
      </c>
      <c r="B37" s="101"/>
      <c r="C37" s="101"/>
      <c r="D37" s="101"/>
      <c r="J37" s="110"/>
      <c r="L37" s="355" t="str">
        <f>IF(SUM(L29:L36)=0,"",SUM(L29:L36))</f>
        <v/>
      </c>
      <c r="M37" s="104" t="s">
        <v>36</v>
      </c>
      <c r="N37" s="288"/>
      <c r="O37" s="288"/>
      <c r="P37" s="347"/>
    </row>
    <row r="38" spans="1:16">
      <c r="A38" s="657"/>
      <c r="B38" s="657"/>
      <c r="C38" s="657"/>
      <c r="D38" s="657"/>
      <c r="E38" s="657"/>
      <c r="F38" s="657"/>
      <c r="G38" s="657"/>
      <c r="H38" s="657"/>
      <c r="I38" s="657"/>
      <c r="J38" s="657"/>
      <c r="K38" s="658"/>
      <c r="L38" s="355"/>
      <c r="M38" s="104"/>
      <c r="N38" s="288"/>
      <c r="O38" s="288"/>
      <c r="P38" s="347"/>
    </row>
    <row r="39" spans="1:16">
      <c r="A39" s="110"/>
      <c r="B39" s="356"/>
      <c r="C39" s="9" t="s">
        <v>519</v>
      </c>
      <c r="D39" s="9" t="s">
        <v>520</v>
      </c>
      <c r="E39" s="15" t="s">
        <v>17</v>
      </c>
      <c r="F39" s="354"/>
      <c r="G39" s="15" t="s">
        <v>17</v>
      </c>
      <c r="H39" s="15" t="s">
        <v>17</v>
      </c>
      <c r="I39" s="15" t="s">
        <v>17</v>
      </c>
      <c r="J39" s="110"/>
      <c r="L39" s="357" t="s">
        <v>720</v>
      </c>
      <c r="M39" s="358">
        <f>SUMPRODUCT(L29:L36,M29:M36)</f>
        <v>0</v>
      </c>
      <c r="N39" s="358" t="s">
        <v>721</v>
      </c>
      <c r="O39" s="359"/>
      <c r="P39" s="360"/>
    </row>
    <row r="40" spans="1:16">
      <c r="A40" s="202"/>
      <c r="B40" s="110" t="s">
        <v>540</v>
      </c>
      <c r="C40" s="652">
        <v>0</v>
      </c>
      <c r="D40" s="652">
        <v>0.1</v>
      </c>
      <c r="E40" s="199"/>
      <c r="F40" s="248"/>
      <c r="G40" s="199"/>
      <c r="H40" s="199"/>
      <c r="I40" s="199"/>
      <c r="J40" s="110"/>
    </row>
    <row r="41" spans="1:16">
      <c r="A41" s="202"/>
      <c r="B41" s="110"/>
      <c r="C41" s="113"/>
      <c r="D41" s="113"/>
      <c r="E41" s="727"/>
      <c r="F41" s="248"/>
      <c r="G41" s="727"/>
      <c r="H41" s="727"/>
      <c r="I41" s="727"/>
      <c r="J41" s="110"/>
    </row>
    <row r="42" spans="1:16">
      <c r="A42" s="202" t="s">
        <v>0</v>
      </c>
    </row>
    <row r="43" spans="1:16">
      <c r="A43" s="110" t="s">
        <v>969</v>
      </c>
    </row>
    <row r="44" spans="1:16">
      <c r="A44" s="110"/>
      <c r="E44" s="643" t="str">
        <f>IF(E14&gt;0,"fill in green cells","")</f>
        <v/>
      </c>
      <c r="G44" s="643" t="str">
        <f>IF(G14&gt;0,"fill in green cells","")</f>
        <v/>
      </c>
      <c r="H44" s="643" t="str">
        <f>IF(H14&gt;0,"fill in green cells","")</f>
        <v/>
      </c>
      <c r="I44" s="643" t="str">
        <f>IF(I14&gt;0,"fill in green cells","")</f>
        <v/>
      </c>
      <c r="M44" s="101"/>
      <c r="N44" s="101"/>
      <c r="O44" s="101"/>
      <c r="P44" s="101"/>
    </row>
    <row r="45" spans="1:16">
      <c r="A45" s="110"/>
      <c r="B45" s="9"/>
      <c r="C45" s="9" t="s">
        <v>37</v>
      </c>
      <c r="D45" s="9" t="s">
        <v>30</v>
      </c>
      <c r="E45" s="15" t="s">
        <v>17</v>
      </c>
      <c r="F45" s="354"/>
      <c r="G45" s="15" t="s">
        <v>17</v>
      </c>
      <c r="H45" s="15" t="s">
        <v>17</v>
      </c>
      <c r="I45" s="15" t="s">
        <v>17</v>
      </c>
      <c r="M45" s="101"/>
      <c r="N45" s="101"/>
      <c r="O45" s="101"/>
      <c r="P45" s="101"/>
    </row>
    <row r="46" spans="1:16">
      <c r="A46" s="110"/>
      <c r="B46" s="34" t="s">
        <v>0</v>
      </c>
      <c r="C46" s="652">
        <v>0.2</v>
      </c>
      <c r="D46" s="652">
        <v>0.5</v>
      </c>
      <c r="E46" s="218"/>
      <c r="F46" s="361"/>
      <c r="G46" s="218"/>
      <c r="H46" s="218"/>
      <c r="I46" s="218"/>
      <c r="M46" s="101"/>
      <c r="N46" s="101"/>
      <c r="O46" s="101"/>
      <c r="P46" s="101"/>
    </row>
    <row r="47" spans="1:16">
      <c r="A47" s="110"/>
      <c r="C47" s="362"/>
      <c r="D47" s="350"/>
      <c r="E47" s="363"/>
      <c r="F47" s="361"/>
      <c r="G47" s="364"/>
      <c r="H47" s="364"/>
      <c r="I47" s="364"/>
      <c r="K47" s="240"/>
      <c r="M47" s="101"/>
      <c r="N47" s="101"/>
      <c r="O47" s="101"/>
      <c r="P47" s="101"/>
    </row>
    <row r="48" spans="1:16">
      <c r="A48" s="202" t="s">
        <v>970</v>
      </c>
      <c r="C48" s="350"/>
      <c r="D48" s="350"/>
      <c r="E48" s="241"/>
      <c r="F48" s="361"/>
      <c r="G48" s="101"/>
      <c r="H48" s="101"/>
      <c r="I48" s="101"/>
      <c r="K48" s="365"/>
      <c r="M48" s="101"/>
      <c r="N48" s="101"/>
      <c r="O48" s="101"/>
      <c r="P48" s="101"/>
    </row>
    <row r="49" spans="1:25">
      <c r="A49" s="34" t="s">
        <v>966</v>
      </c>
      <c r="C49" s="350"/>
      <c r="D49" s="350"/>
      <c r="E49" s="241"/>
      <c r="F49" s="361"/>
      <c r="G49" s="101"/>
      <c r="H49" s="101"/>
      <c r="I49" s="101"/>
      <c r="K49" s="365"/>
      <c r="M49" s="101"/>
      <c r="N49" s="101"/>
      <c r="O49" s="101"/>
      <c r="P49" s="101"/>
    </row>
    <row r="50" spans="1:25">
      <c r="A50" s="110"/>
      <c r="B50" s="9"/>
      <c r="C50" s="9"/>
      <c r="D50" s="9"/>
      <c r="E50" s="15" t="s">
        <v>17</v>
      </c>
      <c r="F50" s="361"/>
      <c r="G50" s="15" t="s">
        <v>17</v>
      </c>
      <c r="H50" s="15" t="s">
        <v>17</v>
      </c>
      <c r="I50" s="15" t="s">
        <v>17</v>
      </c>
      <c r="K50" s="239"/>
      <c r="M50" s="101"/>
      <c r="N50" s="101"/>
      <c r="O50" s="101"/>
      <c r="P50" s="101"/>
      <c r="V50" s="296"/>
    </row>
    <row r="51" spans="1:25">
      <c r="A51" s="110"/>
      <c r="B51" s="193" t="s">
        <v>151</v>
      </c>
      <c r="C51" s="350"/>
      <c r="D51" s="350"/>
      <c r="E51" s="219"/>
      <c r="F51" s="361"/>
      <c r="G51" s="219"/>
      <c r="H51" s="219"/>
      <c r="I51" s="219"/>
    </row>
    <row r="52" spans="1:25">
      <c r="A52" s="110"/>
      <c r="B52" s="194" t="s">
        <v>1</v>
      </c>
      <c r="E52" s="199"/>
      <c r="F52" s="361"/>
      <c r="G52" s="199"/>
      <c r="H52" s="199"/>
      <c r="I52" s="199"/>
      <c r="V52" s="296"/>
    </row>
    <row r="53" spans="1:25" ht="13.9" customHeight="1">
      <c r="A53" s="102"/>
      <c r="B53" s="195" t="s">
        <v>546</v>
      </c>
      <c r="C53" s="101"/>
      <c r="D53" s="101"/>
      <c r="E53" s="199"/>
      <c r="F53" s="361"/>
      <c r="G53" s="199"/>
      <c r="H53" s="199"/>
      <c r="I53" s="199"/>
    </row>
    <row r="54" spans="1:25">
      <c r="A54" s="110"/>
      <c r="B54" s="196" t="s">
        <v>797</v>
      </c>
      <c r="C54" s="242"/>
      <c r="D54" s="242"/>
      <c r="E54" s="218"/>
      <c r="F54" s="248"/>
      <c r="G54" s="218"/>
      <c r="H54" s="218"/>
      <c r="I54" s="218"/>
    </row>
    <row r="55" spans="1:25" ht="13.9" customHeight="1">
      <c r="A55" s="110"/>
      <c r="B55" s="711" t="s">
        <v>36</v>
      </c>
      <c r="C55" s="101"/>
      <c r="D55" s="101"/>
      <c r="E55" s="217" t="str">
        <f>IF(SUM(E51:E54)=0,"",SUM(E51:E54))</f>
        <v/>
      </c>
      <c r="F55" s="340"/>
      <c r="G55" s="217" t="str">
        <f>IF(SUM(G51:G54)=0,"",SUM(G51:G54))</f>
        <v/>
      </c>
      <c r="H55" s="217" t="str">
        <f>IF(SUM(H51:H54)=0,"",SUM(H51:H54))</f>
        <v/>
      </c>
      <c r="I55" s="217" t="str">
        <f>IF(SUM(I51:I54)=0,"",SUM(I51:I54))</f>
        <v/>
      </c>
      <c r="J55" s="238"/>
    </row>
    <row r="56" spans="1:25" ht="13.9" customHeight="1">
      <c r="A56" s="110"/>
      <c r="B56" s="366" t="s">
        <v>971</v>
      </c>
      <c r="C56" s="101"/>
      <c r="D56" s="101"/>
      <c r="E56" s="224"/>
      <c r="F56" s="340"/>
      <c r="G56" s="224"/>
      <c r="H56" s="224"/>
      <c r="I56" s="224"/>
      <c r="J56" s="238"/>
    </row>
    <row r="57" spans="1:25">
      <c r="A57" s="110"/>
      <c r="B57" s="356" t="s">
        <v>1049</v>
      </c>
      <c r="C57" s="728" t="s">
        <v>1048</v>
      </c>
      <c r="D57" s="728" t="s">
        <v>1047</v>
      </c>
      <c r="E57" s="15" t="s">
        <v>17</v>
      </c>
      <c r="G57" s="15" t="s">
        <v>17</v>
      </c>
      <c r="H57" s="15" t="s">
        <v>17</v>
      </c>
      <c r="I57" s="15" t="s">
        <v>17</v>
      </c>
      <c r="L57" s="110"/>
      <c r="M57" s="110"/>
      <c r="N57" s="110"/>
      <c r="O57" s="110"/>
      <c r="P57" s="110"/>
      <c r="Y57" s="102"/>
    </row>
    <row r="58" spans="1:25">
      <c r="A58" s="110"/>
      <c r="B58" s="210" t="s">
        <v>915</v>
      </c>
      <c r="C58" s="659">
        <v>0.5</v>
      </c>
      <c r="D58" s="659">
        <v>0.9</v>
      </c>
      <c r="E58" s="219"/>
      <c r="F58" s="361"/>
      <c r="G58" s="219"/>
      <c r="H58" s="219"/>
      <c r="I58" s="219"/>
    </row>
    <row r="59" spans="1:25" s="110" customFormat="1">
      <c r="B59" s="210"/>
      <c r="C59" s="368"/>
      <c r="D59" s="368"/>
      <c r="E59" s="369"/>
      <c r="F59" s="248"/>
      <c r="G59" s="370"/>
      <c r="H59" s="370"/>
      <c r="I59" s="370"/>
      <c r="L59" s="34"/>
      <c r="M59" s="34"/>
      <c r="N59" s="34"/>
      <c r="O59" s="34"/>
      <c r="P59" s="34"/>
    </row>
    <row r="60" spans="1:25" s="110" customFormat="1">
      <c r="B60" s="210"/>
      <c r="C60" s="368"/>
      <c r="D60" s="368"/>
      <c r="E60" s="369"/>
      <c r="F60" s="248"/>
      <c r="G60" s="370"/>
      <c r="H60" s="370"/>
      <c r="I60" s="370"/>
      <c r="L60" s="34"/>
      <c r="M60" s="34"/>
      <c r="N60" s="34"/>
      <c r="O60" s="34"/>
      <c r="P60" s="34"/>
    </row>
    <row r="61" spans="1:25" s="274" customFormat="1" ht="3.6" customHeight="1">
      <c r="B61" s="208"/>
      <c r="E61" s="275"/>
      <c r="N61" s="275"/>
      <c r="O61" s="275"/>
      <c r="P61" s="275"/>
    </row>
    <row r="62" spans="1:25" ht="15.75">
      <c r="A62" s="203" t="s">
        <v>119</v>
      </c>
      <c r="E62" s="114" t="str">
        <f>+Recycling!$E$9</f>
        <v>Status Quo</v>
      </c>
      <c r="F62" s="329"/>
      <c r="G62" s="114" t="str">
        <f>+Recycling!$G$9</f>
        <v>Scenario 1</v>
      </c>
      <c r="H62" s="114" t="str">
        <f>+Recycling!$H$9</f>
        <v>Scenario 2</v>
      </c>
      <c r="I62" s="114" t="str">
        <f>+Recycling!$I$9</f>
        <v>Scenario 3</v>
      </c>
      <c r="Y62" s="102"/>
    </row>
    <row r="63" spans="1:25">
      <c r="A63" s="110" t="s">
        <v>967</v>
      </c>
      <c r="Y63" s="102"/>
    </row>
    <row r="64" spans="1:25">
      <c r="A64" s="110"/>
      <c r="E64" s="643"/>
      <c r="F64" s="619"/>
      <c r="G64" s="643"/>
      <c r="H64" s="643"/>
      <c r="I64" s="643"/>
      <c r="Y64" s="102"/>
    </row>
    <row r="65" spans="1:25">
      <c r="A65" s="110"/>
      <c r="B65" s="9"/>
      <c r="C65" s="9" t="s">
        <v>18</v>
      </c>
      <c r="D65" s="367"/>
      <c r="E65" s="15" t="s">
        <v>17</v>
      </c>
      <c r="F65" s="309"/>
      <c r="G65" s="15" t="s">
        <v>17</v>
      </c>
      <c r="H65" s="15" t="s">
        <v>17</v>
      </c>
      <c r="I65" s="15" t="s">
        <v>17</v>
      </c>
      <c r="Y65" s="102"/>
    </row>
    <row r="66" spans="1:25">
      <c r="A66" s="110"/>
      <c r="B66" s="31" t="s">
        <v>150</v>
      </c>
      <c r="C66" s="652">
        <v>0.15</v>
      </c>
      <c r="D66" s="350"/>
      <c r="E66" s="200"/>
      <c r="F66" s="336"/>
      <c r="G66" s="200"/>
      <c r="H66" s="200"/>
      <c r="I66" s="200"/>
      <c r="K66" s="240"/>
      <c r="Y66" s="102"/>
    </row>
    <row r="67" spans="1:25">
      <c r="A67" s="110"/>
      <c r="B67" s="31" t="s">
        <v>152</v>
      </c>
      <c r="C67" s="652">
        <v>0</v>
      </c>
      <c r="E67" s="200"/>
      <c r="F67" s="336"/>
      <c r="G67" s="200"/>
      <c r="H67" s="200"/>
      <c r="I67" s="200"/>
      <c r="K67" s="239"/>
      <c r="Y67" s="102"/>
    </row>
    <row r="68" spans="1:25">
      <c r="A68" s="110"/>
    </row>
    <row r="69" spans="1:25">
      <c r="A69" s="110"/>
      <c r="F69" s="371"/>
      <c r="V69" s="102"/>
    </row>
    <row r="70" spans="1:25" s="274" customFormat="1" ht="3.6" customHeight="1">
      <c r="B70" s="208"/>
      <c r="E70" s="275"/>
      <c r="N70" s="275"/>
      <c r="O70" s="275"/>
      <c r="P70" s="275"/>
    </row>
    <row r="71" spans="1:25" ht="15.75">
      <c r="A71" s="203" t="s">
        <v>521</v>
      </c>
      <c r="B71" s="110"/>
      <c r="C71" s="110"/>
      <c r="D71" s="110"/>
      <c r="E71" s="114" t="str">
        <f>+E8</f>
        <v>Status Quo</v>
      </c>
      <c r="F71" s="372"/>
      <c r="G71" s="114" t="str">
        <f>+G8</f>
        <v>Scenario 1</v>
      </c>
      <c r="H71" s="114" t="str">
        <f>+H8</f>
        <v>Scenario 2</v>
      </c>
      <c r="I71" s="114" t="str">
        <f>+I8</f>
        <v>Scenario 3</v>
      </c>
      <c r="J71" s="110"/>
      <c r="V71" s="102"/>
    </row>
    <row r="72" spans="1:25">
      <c r="A72" s="110" t="s">
        <v>968</v>
      </c>
      <c r="B72" s="110"/>
      <c r="C72" s="110"/>
      <c r="D72" s="110"/>
      <c r="J72" s="110"/>
      <c r="V72" s="102"/>
    </row>
    <row r="73" spans="1:25">
      <c r="A73" s="110"/>
      <c r="B73" s="110"/>
      <c r="C73" s="110"/>
      <c r="D73" s="110"/>
      <c r="E73" s="742" t="str">
        <f>IF(E16&gt;0,"fill in green cells","")</f>
        <v/>
      </c>
      <c r="G73" s="742" t="str">
        <f>IF(G16&gt;0,"fill in green cells","")</f>
        <v/>
      </c>
      <c r="H73" s="742" t="str">
        <f>IF(H16&gt;0,"fill in green cells","")</f>
        <v/>
      </c>
      <c r="I73" s="742" t="str">
        <f>IF(I16&gt;0,"fill in green cells","")</f>
        <v/>
      </c>
      <c r="J73" s="110"/>
    </row>
    <row r="74" spans="1:25">
      <c r="A74" s="110"/>
      <c r="B74" s="110"/>
      <c r="C74" s="110"/>
      <c r="D74" s="110"/>
      <c r="E74" s="742"/>
      <c r="F74" s="620"/>
      <c r="G74" s="742"/>
      <c r="H74" s="742"/>
      <c r="I74" s="742"/>
      <c r="J74" s="110"/>
    </row>
    <row r="75" spans="1:25">
      <c r="A75" s="110"/>
      <c r="B75" s="267" t="s">
        <v>532</v>
      </c>
      <c r="C75" s="99" t="s">
        <v>949</v>
      </c>
      <c r="D75" s="99"/>
      <c r="E75" s="15" t="s">
        <v>923</v>
      </c>
      <c r="F75" s="309"/>
      <c r="G75" s="15" t="s">
        <v>923</v>
      </c>
      <c r="H75" s="15" t="s">
        <v>923</v>
      </c>
      <c r="I75" s="15" t="s">
        <v>923</v>
      </c>
      <c r="J75" s="110"/>
    </row>
    <row r="76" spans="1:25">
      <c r="A76" s="110"/>
      <c r="B76" s="373" t="s">
        <v>143</v>
      </c>
      <c r="C76" s="639">
        <v>2.1000000000000001E-2</v>
      </c>
      <c r="D76" s="110"/>
      <c r="E76" s="200"/>
      <c r="F76" s="375"/>
      <c r="G76" s="200"/>
      <c r="H76" s="200"/>
      <c r="I76" s="200"/>
      <c r="J76" s="110"/>
    </row>
    <row r="77" spans="1:25">
      <c r="A77" s="110"/>
      <c r="B77" s="373" t="s">
        <v>522</v>
      </c>
      <c r="C77" s="639">
        <v>2E-3</v>
      </c>
      <c r="D77" s="110"/>
      <c r="E77" s="200"/>
      <c r="F77" s="375"/>
      <c r="G77" s="200"/>
      <c r="H77" s="200"/>
      <c r="I77" s="200"/>
      <c r="J77" s="110"/>
    </row>
    <row r="78" spans="1:25">
      <c r="A78" s="110"/>
      <c r="B78" s="373" t="s">
        <v>21</v>
      </c>
      <c r="C78" s="640" t="s">
        <v>921</v>
      </c>
      <c r="D78" s="110"/>
      <c r="E78" s="200"/>
      <c r="F78" s="375"/>
      <c r="G78" s="200"/>
      <c r="H78" s="200"/>
      <c r="I78" s="200"/>
      <c r="J78" s="110"/>
    </row>
    <row r="79" spans="1:25">
      <c r="A79" s="110"/>
      <c r="B79" s="373" t="s">
        <v>22</v>
      </c>
      <c r="C79" s="640" t="s">
        <v>921</v>
      </c>
      <c r="D79" s="110"/>
      <c r="E79" s="200"/>
      <c r="F79" s="375"/>
      <c r="G79" s="200"/>
      <c r="H79" s="200"/>
      <c r="I79" s="200"/>
      <c r="J79" s="110"/>
    </row>
    <row r="80" spans="1:25">
      <c r="A80" s="110"/>
      <c r="B80" s="373" t="s">
        <v>523</v>
      </c>
      <c r="C80" s="639">
        <v>0.09</v>
      </c>
      <c r="D80" s="110"/>
      <c r="E80" s="200"/>
      <c r="F80" s="375"/>
      <c r="G80" s="200"/>
      <c r="H80" s="200"/>
      <c r="I80" s="200"/>
      <c r="J80" s="110"/>
    </row>
    <row r="81" spans="1:10">
      <c r="A81" s="110"/>
      <c r="B81" s="373" t="s">
        <v>524</v>
      </c>
      <c r="C81" s="639">
        <v>0.32</v>
      </c>
      <c r="D81" s="110"/>
      <c r="E81" s="200"/>
      <c r="F81" s="375"/>
      <c r="G81" s="200"/>
      <c r="H81" s="200"/>
      <c r="I81" s="200"/>
      <c r="J81" s="110"/>
    </row>
    <row r="82" spans="1:10">
      <c r="A82" s="110"/>
      <c r="B82" s="373" t="s">
        <v>525</v>
      </c>
      <c r="C82" s="639">
        <v>7.0000000000000007E-2</v>
      </c>
      <c r="D82" s="110"/>
      <c r="E82" s="200"/>
      <c r="F82" s="375"/>
      <c r="G82" s="200"/>
      <c r="H82" s="200"/>
      <c r="I82" s="200"/>
      <c r="J82" s="110"/>
    </row>
    <row r="83" spans="1:10">
      <c r="A83" s="110"/>
      <c r="B83" s="373" t="s">
        <v>526</v>
      </c>
      <c r="C83" s="639">
        <v>0.187</v>
      </c>
      <c r="D83" s="110"/>
      <c r="E83" s="200"/>
      <c r="F83" s="375"/>
      <c r="G83" s="200"/>
      <c r="H83" s="200"/>
      <c r="I83" s="200"/>
      <c r="J83" s="110"/>
    </row>
    <row r="84" spans="1:10">
      <c r="A84" s="110"/>
      <c r="B84" s="373" t="s">
        <v>881</v>
      </c>
      <c r="C84" s="640" t="s">
        <v>921</v>
      </c>
      <c r="D84" s="110"/>
      <c r="E84" s="200"/>
      <c r="F84" s="375"/>
      <c r="G84" s="200"/>
      <c r="H84" s="200"/>
      <c r="I84" s="200"/>
      <c r="J84" s="110"/>
    </row>
    <row r="85" spans="1:10">
      <c r="A85" s="110"/>
      <c r="B85" s="184" t="s">
        <v>527</v>
      </c>
      <c r="C85" s="641">
        <v>0.31</v>
      </c>
      <c r="D85" s="99"/>
      <c r="E85" s="216"/>
      <c r="F85" s="375"/>
      <c r="G85" s="216"/>
      <c r="H85" s="216"/>
      <c r="I85" s="216"/>
      <c r="J85" s="110"/>
    </row>
    <row r="86" spans="1:10">
      <c r="A86" s="110"/>
      <c r="B86" s="687" t="s">
        <v>36</v>
      </c>
      <c r="C86" s="642">
        <f>SUM(C76:C85)</f>
        <v>1</v>
      </c>
      <c r="D86" s="110"/>
      <c r="E86" s="217" t="str">
        <f>IF(SUM(E76:E85)=0,"",SUM(E76:E85))</f>
        <v/>
      </c>
      <c r="F86" s="215"/>
      <c r="G86" s="217" t="str">
        <f>IF(SUM(G76:G85)=0,"",SUM(G76:G85))</f>
        <v/>
      </c>
      <c r="H86" s="217" t="str">
        <f>IF(SUM(H76:H85)=0,"",SUM(H76:H85))</f>
        <v/>
      </c>
      <c r="I86" s="217" t="str">
        <f>IF(SUM(I76:I85)=0,"",SUM(I76:I85))</f>
        <v/>
      </c>
      <c r="J86" s="102"/>
    </row>
    <row r="87" spans="1:10">
      <c r="B87" s="194" t="s">
        <v>916</v>
      </c>
      <c r="C87" s="110"/>
      <c r="D87" s="110"/>
      <c r="E87" s="9"/>
      <c r="F87" s="371"/>
      <c r="G87" s="9"/>
      <c r="H87" s="9"/>
      <c r="I87" s="9"/>
      <c r="J87" s="110"/>
    </row>
    <row r="88" spans="1:10">
      <c r="A88" s="110"/>
      <c r="B88" s="196" t="s">
        <v>534</v>
      </c>
      <c r="C88" s="99" t="s">
        <v>949</v>
      </c>
      <c r="D88" s="99"/>
      <c r="E88" s="648" t="s">
        <v>918</v>
      </c>
      <c r="F88" s="650"/>
      <c r="G88" s="649"/>
      <c r="H88" s="649"/>
      <c r="I88" s="651"/>
      <c r="J88" s="110"/>
    </row>
    <row r="89" spans="1:10">
      <c r="A89" s="110"/>
      <c r="B89" s="373" t="s">
        <v>53</v>
      </c>
      <c r="C89" s="639">
        <v>0.13</v>
      </c>
      <c r="D89" s="374" t="s">
        <v>836</v>
      </c>
      <c r="E89" s="204"/>
      <c r="F89" s="376"/>
      <c r="G89" s="204"/>
      <c r="H89" s="204"/>
      <c r="I89" s="204"/>
      <c r="J89" s="110" t="s">
        <v>530</v>
      </c>
    </row>
    <row r="90" spans="1:10">
      <c r="A90" s="110"/>
      <c r="B90" s="373" t="s">
        <v>531</v>
      </c>
      <c r="C90" s="208">
        <v>15</v>
      </c>
      <c r="D90" s="374" t="s">
        <v>837</v>
      </c>
      <c r="E90" s="201"/>
      <c r="F90" s="375"/>
      <c r="G90" s="201"/>
      <c r="H90" s="201"/>
      <c r="I90" s="201"/>
      <c r="J90" s="110" t="s">
        <v>48</v>
      </c>
    </row>
    <row r="91" spans="1:10">
      <c r="A91" s="110"/>
      <c r="B91" s="110"/>
      <c r="C91" s="110"/>
      <c r="D91" s="110"/>
      <c r="E91" s="744" t="str">
        <f>IF(E17&gt;0,"fill in green cells","")</f>
        <v/>
      </c>
      <c r="F91" s="371"/>
      <c r="G91" s="744" t="str">
        <f>IF(G17&gt;0,"fill in green cells","")</f>
        <v/>
      </c>
      <c r="H91" s="744" t="str">
        <f>IF(H17&gt;0,"fill in green cells","")</f>
        <v/>
      </c>
      <c r="I91" s="744" t="str">
        <f>IF(I17&gt;0,"fill in green cells","")</f>
        <v/>
      </c>
      <c r="J91" s="110"/>
    </row>
    <row r="92" spans="1:10">
      <c r="A92" s="110"/>
      <c r="B92" s="110"/>
      <c r="C92" s="110"/>
      <c r="D92" s="110"/>
      <c r="E92" s="742"/>
      <c r="F92" s="621"/>
      <c r="G92" s="742"/>
      <c r="H92" s="742"/>
      <c r="I92" s="742"/>
      <c r="J92" s="110"/>
    </row>
    <row r="93" spans="1:10">
      <c r="A93" s="110"/>
      <c r="B93" s="267" t="s">
        <v>533</v>
      </c>
      <c r="C93" s="99" t="s">
        <v>949</v>
      </c>
      <c r="D93" s="99"/>
      <c r="E93" s="15" t="s">
        <v>923</v>
      </c>
      <c r="F93" s="309"/>
      <c r="G93" s="15" t="s">
        <v>923</v>
      </c>
      <c r="H93" s="15" t="s">
        <v>923</v>
      </c>
      <c r="I93" s="15" t="s">
        <v>923</v>
      </c>
      <c r="J93" s="110"/>
    </row>
    <row r="94" spans="1:10">
      <c r="A94" s="110"/>
      <c r="B94" s="373" t="s">
        <v>143</v>
      </c>
      <c r="C94" s="639">
        <v>2.1000000000000001E-2</v>
      </c>
      <c r="D94" s="374"/>
      <c r="E94" s="200"/>
      <c r="F94" s="375"/>
      <c r="G94" s="200"/>
      <c r="H94" s="200"/>
      <c r="I94" s="200"/>
      <c r="J94" s="110"/>
    </row>
    <row r="95" spans="1:10">
      <c r="A95" s="110"/>
      <c r="B95" s="373" t="s">
        <v>522</v>
      </c>
      <c r="C95" s="639">
        <v>2E-3</v>
      </c>
      <c r="D95" s="374"/>
      <c r="E95" s="200"/>
      <c r="F95" s="375"/>
      <c r="G95" s="200"/>
      <c r="H95" s="200"/>
      <c r="I95" s="200"/>
      <c r="J95" s="110"/>
    </row>
    <row r="96" spans="1:10">
      <c r="A96" s="110"/>
      <c r="B96" s="373" t="s">
        <v>21</v>
      </c>
      <c r="C96" s="640" t="s">
        <v>921</v>
      </c>
      <c r="D96" s="110"/>
      <c r="E96" s="200"/>
      <c r="F96" s="375"/>
      <c r="G96" s="200"/>
      <c r="H96" s="200"/>
      <c r="I96" s="200"/>
      <c r="J96" s="110"/>
    </row>
    <row r="97" spans="1:10">
      <c r="A97" s="110"/>
      <c r="B97" s="373" t="s">
        <v>22</v>
      </c>
      <c r="C97" s="640" t="s">
        <v>921</v>
      </c>
      <c r="D97" s="110"/>
      <c r="E97" s="200"/>
      <c r="F97" s="375"/>
      <c r="G97" s="200"/>
      <c r="H97" s="200"/>
      <c r="I97" s="200"/>
      <c r="J97" s="110"/>
    </row>
    <row r="98" spans="1:10">
      <c r="A98" s="110"/>
      <c r="B98" s="373" t="s">
        <v>523</v>
      </c>
      <c r="C98" s="639">
        <v>0.2</v>
      </c>
      <c r="D98" s="374"/>
      <c r="E98" s="200"/>
      <c r="F98" s="375"/>
      <c r="G98" s="200"/>
      <c r="H98" s="200"/>
      <c r="I98" s="200"/>
      <c r="J98" s="110"/>
    </row>
    <row r="99" spans="1:10">
      <c r="A99" s="110"/>
      <c r="B99" s="373" t="s">
        <v>524</v>
      </c>
      <c r="C99" s="639">
        <v>0.27</v>
      </c>
      <c r="D99" s="374"/>
      <c r="E99" s="200"/>
      <c r="F99" s="375"/>
      <c r="G99" s="200"/>
      <c r="H99" s="200"/>
      <c r="I99" s="200"/>
      <c r="J99" s="110"/>
    </row>
    <row r="100" spans="1:10">
      <c r="A100" s="110"/>
      <c r="B100" s="373" t="s">
        <v>525</v>
      </c>
      <c r="C100" s="639">
        <v>0.04</v>
      </c>
      <c r="D100" s="374"/>
      <c r="E100" s="200"/>
      <c r="F100" s="375"/>
      <c r="G100" s="200"/>
      <c r="H100" s="200"/>
      <c r="I100" s="200"/>
      <c r="J100" s="110"/>
    </row>
    <row r="101" spans="1:10">
      <c r="A101" s="110"/>
      <c r="B101" s="373" t="s">
        <v>526</v>
      </c>
      <c r="C101" s="639">
        <v>0.17699999999999999</v>
      </c>
      <c r="D101" s="113"/>
      <c r="E101" s="200"/>
      <c r="F101" s="375"/>
      <c r="G101" s="200"/>
      <c r="H101" s="200"/>
      <c r="I101" s="200"/>
      <c r="J101" s="110"/>
    </row>
    <row r="102" spans="1:10">
      <c r="A102" s="110"/>
      <c r="B102" s="373" t="s">
        <v>881</v>
      </c>
      <c r="C102" s="640" t="s">
        <v>921</v>
      </c>
      <c r="D102" s="110"/>
      <c r="E102" s="200"/>
      <c r="F102" s="375"/>
      <c r="G102" s="200"/>
      <c r="H102" s="200"/>
      <c r="I102" s="200"/>
      <c r="J102" s="110"/>
    </row>
    <row r="103" spans="1:10">
      <c r="A103" s="110"/>
      <c r="B103" s="373" t="s">
        <v>527</v>
      </c>
      <c r="C103" s="639">
        <v>0.24</v>
      </c>
      <c r="D103" s="113"/>
      <c r="E103" s="200"/>
      <c r="F103" s="375"/>
      <c r="G103" s="200"/>
      <c r="H103" s="200"/>
      <c r="I103" s="200"/>
      <c r="J103" s="110"/>
    </row>
    <row r="104" spans="1:10">
      <c r="A104" s="110"/>
      <c r="B104" s="184" t="s">
        <v>528</v>
      </c>
      <c r="C104" s="641">
        <v>0.05</v>
      </c>
      <c r="D104" s="377"/>
      <c r="E104" s="216"/>
      <c r="F104" s="375"/>
      <c r="G104" s="216"/>
      <c r="H104" s="216"/>
      <c r="I104" s="216"/>
      <c r="J104" s="110"/>
    </row>
    <row r="105" spans="1:10">
      <c r="A105" s="110"/>
      <c r="B105" s="687" t="s">
        <v>36</v>
      </c>
      <c r="C105" s="374">
        <f>SUM(C94:C104)</f>
        <v>1</v>
      </c>
      <c r="D105" s="374"/>
      <c r="E105" s="217" t="str">
        <f>IF(SUM(E94:E104)=0,"",SUM(E94:E104))</f>
        <v/>
      </c>
      <c r="F105" s="215"/>
      <c r="G105" s="217" t="str">
        <f>IF(SUM(G94:G104)=0,"",SUM(G94:G104))</f>
        <v/>
      </c>
      <c r="H105" s="217" t="str">
        <f>IF(SUM(H94:H104)=0,"",SUM(H94:H104))</f>
        <v/>
      </c>
      <c r="I105" s="217" t="str">
        <f>IF(SUM(I94:I104)=0,"",SUM(I94:I104))</f>
        <v/>
      </c>
      <c r="J105" s="110"/>
    </row>
    <row r="106" spans="1:10">
      <c r="A106" s="110"/>
      <c r="B106" s="99" t="s">
        <v>536</v>
      </c>
      <c r="C106" s="377"/>
      <c r="D106" s="377"/>
      <c r="E106" s="15" t="s">
        <v>17</v>
      </c>
      <c r="F106" s="248"/>
      <c r="G106" s="15" t="s">
        <v>17</v>
      </c>
      <c r="H106" s="15" t="s">
        <v>17</v>
      </c>
      <c r="I106" s="15" t="s">
        <v>17</v>
      </c>
      <c r="J106" s="110"/>
    </row>
    <row r="107" spans="1:10">
      <c r="A107" s="110"/>
      <c r="B107" s="183" t="s">
        <v>546</v>
      </c>
      <c r="C107" s="102"/>
      <c r="D107" s="102"/>
      <c r="E107" s="204"/>
      <c r="F107" s="248"/>
      <c r="G107" s="204"/>
      <c r="H107" s="204"/>
      <c r="I107" s="204"/>
      <c r="J107" s="110"/>
    </row>
    <row r="108" spans="1:10">
      <c r="A108" s="110"/>
      <c r="B108" s="184" t="s">
        <v>797</v>
      </c>
      <c r="C108" s="99"/>
      <c r="D108" s="99"/>
      <c r="E108" s="216"/>
      <c r="F108" s="248"/>
      <c r="G108" s="216"/>
      <c r="H108" s="216"/>
      <c r="I108" s="216"/>
      <c r="J108" s="110"/>
    </row>
    <row r="109" spans="1:10">
      <c r="A109" s="110"/>
      <c r="B109" s="687" t="s">
        <v>36</v>
      </c>
      <c r="C109" s="110"/>
      <c r="D109" s="110"/>
      <c r="E109" s="217" t="str">
        <f>IF(SUM(E107:E108)=0,"",SUM(E107:E108))</f>
        <v/>
      </c>
      <c r="F109" s="215"/>
      <c r="G109" s="217" t="str">
        <f t="shared" ref="G109:I109" si="0">IF(SUM(G107:G108)=0,"",SUM(G107:G108))</f>
        <v/>
      </c>
      <c r="H109" s="217" t="str">
        <f t="shared" si="0"/>
        <v/>
      </c>
      <c r="I109" s="217" t="str">
        <f t="shared" si="0"/>
        <v/>
      </c>
      <c r="J109" s="244"/>
    </row>
    <row r="110" spans="1:10">
      <c r="B110" s="194" t="s">
        <v>529</v>
      </c>
      <c r="C110" s="110"/>
      <c r="D110" s="110"/>
      <c r="E110" s="9"/>
      <c r="F110" s="371"/>
      <c r="G110" s="9"/>
      <c r="H110" s="9"/>
      <c r="I110" s="9"/>
      <c r="J110" s="110"/>
    </row>
    <row r="111" spans="1:10">
      <c r="A111" s="110"/>
      <c r="B111" s="196" t="s">
        <v>537</v>
      </c>
      <c r="C111" s="99" t="s">
        <v>949</v>
      </c>
      <c r="D111" s="99"/>
      <c r="E111" s="648" t="s">
        <v>918</v>
      </c>
      <c r="F111" s="650"/>
      <c r="G111" s="649"/>
      <c r="H111" s="649"/>
      <c r="I111" s="651"/>
      <c r="J111" s="110"/>
    </row>
    <row r="112" spans="1:10">
      <c r="A112" s="110"/>
      <c r="B112" s="373" t="s">
        <v>53</v>
      </c>
      <c r="C112" s="639">
        <v>0.13</v>
      </c>
      <c r="D112" s="374" t="s">
        <v>836</v>
      </c>
      <c r="E112" s="200"/>
      <c r="F112" s="375"/>
      <c r="G112" s="200"/>
      <c r="H112" s="200"/>
      <c r="I112" s="200"/>
      <c r="J112" s="110" t="s">
        <v>530</v>
      </c>
    </row>
    <row r="113" spans="1:10">
      <c r="A113" s="110"/>
      <c r="B113" s="373" t="s">
        <v>531</v>
      </c>
      <c r="C113" s="208">
        <v>15</v>
      </c>
      <c r="D113" s="374" t="s">
        <v>837</v>
      </c>
      <c r="E113" s="201"/>
      <c r="F113" s="375"/>
      <c r="G113" s="201"/>
      <c r="H113" s="201"/>
      <c r="I113" s="201"/>
      <c r="J113" s="110" t="s">
        <v>48</v>
      </c>
    </row>
    <row r="114" spans="1:10">
      <c r="A114" s="110"/>
      <c r="B114" s="110"/>
      <c r="C114" s="110"/>
      <c r="D114" s="110"/>
      <c r="E114" s="744" t="str">
        <f>IF(E18&gt;0,"fill in green cells","")</f>
        <v/>
      </c>
      <c r="F114" s="371"/>
      <c r="G114" s="744" t="str">
        <f>IF(G18&gt;0,"fill in green cells","")</f>
        <v/>
      </c>
      <c r="H114" s="744" t="str">
        <f>IF(H18&gt;0,"fill in green cells","")</f>
        <v/>
      </c>
      <c r="I114" s="744" t="str">
        <f>IF(I18&gt;0,"fill in green cells","")</f>
        <v/>
      </c>
      <c r="J114" s="110"/>
    </row>
    <row r="115" spans="1:10">
      <c r="A115" s="110"/>
      <c r="B115" s="110"/>
      <c r="C115" s="110"/>
      <c r="D115" s="110"/>
      <c r="E115" s="742"/>
      <c r="F115" s="620"/>
      <c r="G115" s="742"/>
      <c r="H115" s="742"/>
      <c r="I115" s="742"/>
      <c r="J115" s="110"/>
    </row>
    <row r="116" spans="1:10">
      <c r="A116" s="110"/>
      <c r="B116" s="267" t="s">
        <v>535</v>
      </c>
      <c r="C116" s="99" t="s">
        <v>949</v>
      </c>
      <c r="D116" s="99"/>
      <c r="E116" s="15" t="s">
        <v>923</v>
      </c>
      <c r="F116" s="309"/>
      <c r="G116" s="15" t="s">
        <v>923</v>
      </c>
      <c r="H116" s="15" t="s">
        <v>923</v>
      </c>
      <c r="I116" s="15" t="s">
        <v>923</v>
      </c>
      <c r="J116" s="110"/>
    </row>
    <row r="117" spans="1:10">
      <c r="A117" s="110"/>
      <c r="B117" s="373" t="s">
        <v>143</v>
      </c>
      <c r="C117" s="639">
        <v>3.2000000000000001E-2</v>
      </c>
      <c r="D117" s="374"/>
      <c r="E117" s="200"/>
      <c r="F117" s="375"/>
      <c r="G117" s="200"/>
      <c r="H117" s="200"/>
      <c r="I117" s="200"/>
      <c r="J117" s="110"/>
    </row>
    <row r="118" spans="1:10">
      <c r="A118" s="110"/>
      <c r="B118" s="373" t="s">
        <v>522</v>
      </c>
      <c r="C118" s="639">
        <v>5.0000000000000001E-3</v>
      </c>
      <c r="D118" s="374"/>
      <c r="E118" s="200"/>
      <c r="F118" s="375"/>
      <c r="G118" s="200"/>
      <c r="H118" s="200"/>
      <c r="I118" s="200"/>
      <c r="J118" s="110"/>
    </row>
    <row r="119" spans="1:10">
      <c r="A119" s="110"/>
      <c r="B119" s="373" t="s">
        <v>21</v>
      </c>
      <c r="C119" s="640" t="s">
        <v>921</v>
      </c>
      <c r="D119" s="110"/>
      <c r="E119" s="200"/>
      <c r="F119" s="375"/>
      <c r="G119" s="200"/>
      <c r="H119" s="200"/>
      <c r="I119" s="200"/>
      <c r="J119" s="110"/>
    </row>
    <row r="120" spans="1:10">
      <c r="A120" s="110"/>
      <c r="B120" s="373" t="s">
        <v>22</v>
      </c>
      <c r="C120" s="640" t="s">
        <v>921</v>
      </c>
      <c r="D120" s="110"/>
      <c r="E120" s="200"/>
      <c r="F120" s="375"/>
      <c r="G120" s="200"/>
      <c r="H120" s="200"/>
      <c r="I120" s="200"/>
      <c r="J120" s="110"/>
    </row>
    <row r="121" spans="1:10">
      <c r="A121" s="110"/>
      <c r="B121" s="373" t="s">
        <v>523</v>
      </c>
      <c r="C121" s="639">
        <v>0.01</v>
      </c>
      <c r="D121" s="374"/>
      <c r="E121" s="200"/>
      <c r="F121" s="375"/>
      <c r="G121" s="200"/>
      <c r="H121" s="200"/>
      <c r="I121" s="200"/>
      <c r="J121" s="110"/>
    </row>
    <row r="122" spans="1:10">
      <c r="A122" s="110"/>
      <c r="B122" s="373" t="s">
        <v>524</v>
      </c>
      <c r="C122" s="639">
        <v>0.41</v>
      </c>
      <c r="D122" s="374"/>
      <c r="E122" s="200"/>
      <c r="F122" s="375"/>
      <c r="G122" s="200"/>
      <c r="H122" s="200"/>
      <c r="I122" s="200"/>
      <c r="J122" s="110"/>
    </row>
    <row r="123" spans="1:10">
      <c r="A123" s="110"/>
      <c r="B123" s="373" t="s">
        <v>525</v>
      </c>
      <c r="C123" s="639">
        <v>0.23</v>
      </c>
      <c r="D123" s="374"/>
      <c r="E123" s="200"/>
      <c r="F123" s="375"/>
      <c r="G123" s="200"/>
      <c r="H123" s="200"/>
      <c r="I123" s="200"/>
      <c r="J123" s="110"/>
    </row>
    <row r="124" spans="1:10">
      <c r="A124" s="110"/>
      <c r="B124" s="373" t="s">
        <v>526</v>
      </c>
      <c r="C124" s="639">
        <v>0.27300000000000002</v>
      </c>
      <c r="D124" s="113"/>
      <c r="E124" s="200"/>
      <c r="F124" s="375"/>
      <c r="G124" s="200"/>
      <c r="H124" s="200"/>
      <c r="I124" s="200"/>
      <c r="J124" s="110"/>
    </row>
    <row r="125" spans="1:10">
      <c r="A125" s="110"/>
      <c r="B125" s="373" t="s">
        <v>881</v>
      </c>
      <c r="C125" s="640" t="s">
        <v>921</v>
      </c>
      <c r="D125" s="110"/>
      <c r="E125" s="200"/>
      <c r="F125" s="375"/>
      <c r="G125" s="200"/>
      <c r="H125" s="200"/>
      <c r="I125" s="200"/>
      <c r="J125" s="110"/>
    </row>
    <row r="126" spans="1:10">
      <c r="A126" s="110"/>
      <c r="B126" s="184" t="s">
        <v>527</v>
      </c>
      <c r="C126" s="641">
        <v>0.04</v>
      </c>
      <c r="D126" s="377"/>
      <c r="E126" s="216"/>
      <c r="F126" s="375"/>
      <c r="G126" s="216"/>
      <c r="H126" s="216"/>
      <c r="I126" s="200"/>
      <c r="J126" s="110"/>
    </row>
    <row r="127" spans="1:10">
      <c r="A127" s="110"/>
      <c r="B127" s="687" t="s">
        <v>36</v>
      </c>
      <c r="C127" s="374">
        <f>SUM(C117:C126)</f>
        <v>1</v>
      </c>
      <c r="D127" s="374"/>
      <c r="E127" s="217" t="str">
        <f>IF(SUM(E117:E126)=0,"",SUM(E117:E126))</f>
        <v/>
      </c>
      <c r="F127" s="215"/>
      <c r="G127" s="217" t="str">
        <f>IF(SUM(G117:G126)=0,"",SUM(G117:G126))</f>
        <v/>
      </c>
      <c r="H127" s="217" t="str">
        <f>IF(SUM(H117:H126)=0,"",SUM(H117:H126))</f>
        <v/>
      </c>
      <c r="I127" s="217" t="str">
        <f>IF(SUM(I117:I126)=0,"",SUM(I117:I126))</f>
        <v/>
      </c>
      <c r="J127" s="110"/>
    </row>
    <row r="128" spans="1:10">
      <c r="B128" s="194" t="s">
        <v>529</v>
      </c>
      <c r="C128" s="110"/>
      <c r="D128" s="110"/>
      <c r="E128" s="9"/>
      <c r="F128" s="371"/>
      <c r="G128" s="9"/>
      <c r="H128" s="9"/>
      <c r="I128" s="9"/>
      <c r="J128" s="110"/>
    </row>
    <row r="129" spans="1:10">
      <c r="A129" s="110"/>
      <c r="B129" s="196" t="s">
        <v>538</v>
      </c>
      <c r="C129" s="99" t="s">
        <v>949</v>
      </c>
      <c r="D129" s="99"/>
      <c r="E129" s="648" t="s">
        <v>918</v>
      </c>
      <c r="F129" s="650"/>
      <c r="G129" s="649"/>
      <c r="H129" s="649"/>
      <c r="I129" s="651"/>
      <c r="J129" s="110"/>
    </row>
    <row r="130" spans="1:10">
      <c r="A130" s="110"/>
      <c r="B130" s="373" t="s">
        <v>53</v>
      </c>
      <c r="C130" s="639">
        <v>0.13</v>
      </c>
      <c r="D130" s="374" t="s">
        <v>836</v>
      </c>
      <c r="E130" s="200"/>
      <c r="F130" s="375"/>
      <c r="G130" s="200"/>
      <c r="H130" s="200"/>
      <c r="I130" s="200"/>
      <c r="J130" s="110" t="s">
        <v>530</v>
      </c>
    </row>
    <row r="131" spans="1:10">
      <c r="A131" s="110"/>
      <c r="B131" s="373" t="s">
        <v>531</v>
      </c>
      <c r="C131" s="208">
        <v>15</v>
      </c>
      <c r="D131" s="374" t="s">
        <v>837</v>
      </c>
      <c r="E131" s="201"/>
      <c r="F131" s="375"/>
      <c r="G131" s="201"/>
      <c r="H131" s="201"/>
      <c r="I131" s="201"/>
      <c r="J131" s="110" t="s">
        <v>48</v>
      </c>
    </row>
    <row r="132" spans="1:10">
      <c r="A132" s="110"/>
      <c r="B132" s="110"/>
      <c r="C132" s="110"/>
      <c r="D132" s="110"/>
      <c r="F132" s="371"/>
      <c r="J132" s="110"/>
    </row>
    <row r="133" spans="1:10">
      <c r="A133" s="110"/>
      <c r="B133" s="110"/>
      <c r="C133" s="110"/>
      <c r="D133" s="110"/>
    </row>
  </sheetData>
  <sheetProtection password="AAA9" sheet="1" objects="1" scenarios="1"/>
  <mergeCells count="19">
    <mergeCell ref="A10:A12"/>
    <mergeCell ref="A13:A15"/>
    <mergeCell ref="A16:A19"/>
    <mergeCell ref="I30:I31"/>
    <mergeCell ref="H30:H31"/>
    <mergeCell ref="G30:G31"/>
    <mergeCell ref="E30:E31"/>
    <mergeCell ref="I114:I115"/>
    <mergeCell ref="H114:H115"/>
    <mergeCell ref="G114:G115"/>
    <mergeCell ref="E114:E115"/>
    <mergeCell ref="I73:I74"/>
    <mergeCell ref="H73:H74"/>
    <mergeCell ref="G73:G74"/>
    <mergeCell ref="E73:E74"/>
    <mergeCell ref="I91:I92"/>
    <mergeCell ref="H91:H92"/>
    <mergeCell ref="G91:G92"/>
    <mergeCell ref="E91:E92"/>
  </mergeCells>
  <phoneticPr fontId="5" type="noConversion"/>
  <conditionalFormatting sqref="E32">
    <cfRule type="expression" dxfId="49" priority="179">
      <formula>IF(OR(E$12="",E$12=0),1,0)</formula>
    </cfRule>
  </conditionalFormatting>
  <conditionalFormatting sqref="E33">
    <cfRule type="expression" dxfId="48" priority="175">
      <formula>IF(OR(E$13="",E$13=0),1,0)</formula>
    </cfRule>
  </conditionalFormatting>
  <conditionalFormatting sqref="E58 G58:I58">
    <cfRule type="expression" dxfId="47" priority="174">
      <formula>IF(OR(E$52="",E$52=0),1,0)</formula>
    </cfRule>
  </conditionalFormatting>
  <conditionalFormatting sqref="G32">
    <cfRule type="expression" dxfId="46" priority="167">
      <formula>IF(OR(G$12="",G$12=0),1,0)</formula>
    </cfRule>
  </conditionalFormatting>
  <conditionalFormatting sqref="G33">
    <cfRule type="expression" dxfId="45" priority="166">
      <formula>IF(OR(G$13="",G$13=0),1,0)</formula>
    </cfRule>
  </conditionalFormatting>
  <conditionalFormatting sqref="G34 E40 E46 E51:E54 E34">
    <cfRule type="expression" dxfId="44" priority="165">
      <formula>IF(OR(E$14="",E$14=0),1,0)</formula>
    </cfRule>
  </conditionalFormatting>
  <conditionalFormatting sqref="H32">
    <cfRule type="expression" dxfId="43" priority="164">
      <formula>IF(OR(H$12="",H$12=0),1,0)</formula>
    </cfRule>
  </conditionalFormatting>
  <conditionalFormatting sqref="H33">
    <cfRule type="expression" dxfId="42" priority="163">
      <formula>IF(OR(H$13="",H$13=0),1,0)</formula>
    </cfRule>
  </conditionalFormatting>
  <conditionalFormatting sqref="H34">
    <cfRule type="expression" dxfId="41" priority="162">
      <formula>IF(OR(H$14="",H$14=0),1,0)</formula>
    </cfRule>
  </conditionalFormatting>
  <conditionalFormatting sqref="I32">
    <cfRule type="expression" dxfId="40" priority="161">
      <formula>IF(OR(I$12="",I$12=0),1,0)</formula>
    </cfRule>
  </conditionalFormatting>
  <conditionalFormatting sqref="I33">
    <cfRule type="expression" dxfId="39" priority="160">
      <formula>IF(OR(I$13="",I$13=0),1,0)</formula>
    </cfRule>
  </conditionalFormatting>
  <conditionalFormatting sqref="I34">
    <cfRule type="expression" dxfId="38" priority="159">
      <formula>IF(OR(I$14="",I$14=0),1,0)</formula>
    </cfRule>
  </conditionalFormatting>
  <conditionalFormatting sqref="G40">
    <cfRule type="expression" dxfId="37" priority="154">
      <formula>IF(OR(G$14="",G$14=0),1,0)</formula>
    </cfRule>
  </conditionalFormatting>
  <conditionalFormatting sqref="G46">
    <cfRule type="expression" dxfId="36" priority="153">
      <formula>IF(OR(G$14="",G$14=0),1,0)</formula>
    </cfRule>
  </conditionalFormatting>
  <conditionalFormatting sqref="H40">
    <cfRule type="expression" dxfId="35" priority="151">
      <formula>IF(OR(H$14="",H$14=0),1,0)</formula>
    </cfRule>
  </conditionalFormatting>
  <conditionalFormatting sqref="I40">
    <cfRule type="expression" dxfId="34" priority="150">
      <formula>IF(OR(I$14="",I$14=0),1,0)</formula>
    </cfRule>
  </conditionalFormatting>
  <conditionalFormatting sqref="H46">
    <cfRule type="expression" dxfId="33" priority="149">
      <formula>IF(OR(H$14="",H$14=0),1,0)</formula>
    </cfRule>
  </conditionalFormatting>
  <conditionalFormatting sqref="I46">
    <cfRule type="expression" dxfId="32" priority="148">
      <formula>IF(OR(I$14="",I$14=0),1,0)</formula>
    </cfRule>
  </conditionalFormatting>
  <conditionalFormatting sqref="E66:E67">
    <cfRule type="expression" dxfId="31" priority="84">
      <formula>IF(OR(E$19="",E$19=0),1,0)</formula>
    </cfRule>
  </conditionalFormatting>
  <conditionalFormatting sqref="G66">
    <cfRule type="expression" dxfId="30" priority="82">
      <formula>IF(OR(G$19="",G$19=0),1,0)</formula>
    </cfRule>
  </conditionalFormatting>
  <conditionalFormatting sqref="G67">
    <cfRule type="expression" dxfId="29" priority="81">
      <formula>IF(OR(G$19="",G$19=0),1,0)</formula>
    </cfRule>
  </conditionalFormatting>
  <conditionalFormatting sqref="H66:I66">
    <cfRule type="expression" dxfId="28" priority="80">
      <formula>IF(OR(H$19="",H$19=0),1,0)</formula>
    </cfRule>
  </conditionalFormatting>
  <conditionalFormatting sqref="H67:I67">
    <cfRule type="expression" dxfId="27" priority="79">
      <formula>IF(OR(H$19="",H$19=0),1,0)</formula>
    </cfRule>
  </conditionalFormatting>
  <conditionalFormatting sqref="E94:E104 E107:E108 E112:E113 G107:I108">
    <cfRule type="expression" dxfId="26" priority="78">
      <formula>IF(OR(E$17="",E$17=0),1,0)</formula>
    </cfRule>
  </conditionalFormatting>
  <conditionalFormatting sqref="E76:E85 E89:E90 G89:I90">
    <cfRule type="expression" dxfId="25" priority="76">
      <formula>IF(OR(E$16="",E$16=0),1,0)</formula>
    </cfRule>
  </conditionalFormatting>
  <conditionalFormatting sqref="G76:G85">
    <cfRule type="expression" dxfId="24" priority="60">
      <formula>IF(OR(G$16="",G$16=0),1,0)</formula>
    </cfRule>
  </conditionalFormatting>
  <conditionalFormatting sqref="G94:G104">
    <cfRule type="expression" dxfId="23" priority="56">
      <formula>IF(OR(G$17="",G$17=0),1,0)</formula>
    </cfRule>
  </conditionalFormatting>
  <conditionalFormatting sqref="G112">
    <cfRule type="expression" dxfId="22" priority="52">
      <formula>IF(OR(G$17="",G$17=0),1,0)</formula>
    </cfRule>
  </conditionalFormatting>
  <conditionalFormatting sqref="G113">
    <cfRule type="expression" dxfId="21" priority="51">
      <formula>IF(OR(G$17="",G$17=0),1,0)</formula>
    </cfRule>
  </conditionalFormatting>
  <conditionalFormatting sqref="H76:H85">
    <cfRule type="expression" dxfId="20" priority="50">
      <formula>IF(OR(H$16="",H$16=0),1,0)</formula>
    </cfRule>
  </conditionalFormatting>
  <conditionalFormatting sqref="H107:H108">
    <cfRule type="expression" dxfId="19" priority="46">
      <formula>IF(OR(H$17="",H$17=0),1,0)</formula>
    </cfRule>
  </conditionalFormatting>
  <conditionalFormatting sqref="H112:I112">
    <cfRule type="expression" dxfId="18" priority="42">
      <formula>IF(OR(H$17="",H$17=0),1,0)</formula>
    </cfRule>
  </conditionalFormatting>
  <conditionalFormatting sqref="H113:I113">
    <cfRule type="expression" dxfId="17" priority="41">
      <formula>IF(OR(H$17="",H$17=0),1,0)</formula>
    </cfRule>
  </conditionalFormatting>
  <conditionalFormatting sqref="E117:E126 E130:E131">
    <cfRule type="expression" dxfId="16" priority="40">
      <formula>IF(OR(E$18="",E$18=0),1,0)</formula>
    </cfRule>
  </conditionalFormatting>
  <conditionalFormatting sqref="G117:G126">
    <cfRule type="expression" dxfId="15" priority="37">
      <formula>IF(OR(G$18="",G$18=0),1,0)</formula>
    </cfRule>
  </conditionalFormatting>
  <conditionalFormatting sqref="G130:G131">
    <cfRule type="expression" dxfId="14" priority="35">
      <formula>IF(OR(G$18="",G$18=0),1,0)</formula>
    </cfRule>
  </conditionalFormatting>
  <conditionalFormatting sqref="H117:H126">
    <cfRule type="expression" dxfId="13" priority="34">
      <formula>IF(OR(H$18="",H$18=0),1,0)</formula>
    </cfRule>
  </conditionalFormatting>
  <conditionalFormatting sqref="H130:I131">
    <cfRule type="expression" dxfId="12" priority="32">
      <formula>IF(OR(H$18="",H$18=0),1,0)</formula>
    </cfRule>
  </conditionalFormatting>
  <conditionalFormatting sqref="G51:G54">
    <cfRule type="expression" dxfId="11" priority="29">
      <formula>IF(OR(G$14="",G$14=0),1,0)</formula>
    </cfRule>
  </conditionalFormatting>
  <conditionalFormatting sqref="H51:H54">
    <cfRule type="expression" dxfId="10" priority="28">
      <formula>IF(OR(H$14="",H$14=0),1,0)</formula>
    </cfRule>
  </conditionalFormatting>
  <conditionalFormatting sqref="I51:I54">
    <cfRule type="expression" dxfId="9" priority="27">
      <formula>IF(OR(I$14="",I$14=0),1,0)</formula>
    </cfRule>
  </conditionalFormatting>
  <conditionalFormatting sqref="E55:I55 E105:H105 E109:I109 E127:I127 E20:I20 E86:I86">
    <cfRule type="cellIs" dxfId="8" priority="25" operator="equal">
      <formula>1</formula>
    </cfRule>
  </conditionalFormatting>
  <conditionalFormatting sqref="L37:L38">
    <cfRule type="cellIs" dxfId="7" priority="24" operator="equal">
      <formula>1</formula>
    </cfRule>
  </conditionalFormatting>
  <conditionalFormatting sqref="I117:I126">
    <cfRule type="expression" dxfId="6" priority="10">
      <formula>IF(OR(I$18="",I$18=0),1,0)</formula>
    </cfRule>
  </conditionalFormatting>
  <conditionalFormatting sqref="I76:I85">
    <cfRule type="expression" dxfId="5" priority="6">
      <formula>IF(OR(I$16="",I$16=0),1,0)</formula>
    </cfRule>
  </conditionalFormatting>
  <conditionalFormatting sqref="H94:H104">
    <cfRule type="expression" dxfId="4" priority="4">
      <formula>IF(OR(H$17="",H$17=0),1,0)</formula>
    </cfRule>
  </conditionalFormatting>
  <conditionalFormatting sqref="I107:I108">
    <cfRule type="expression" dxfId="3" priority="3">
      <formula>IF(OR(I$17="",I$17=0),1,0)</formula>
    </cfRule>
  </conditionalFormatting>
  <conditionalFormatting sqref="I105">
    <cfRule type="cellIs" dxfId="2" priority="2" operator="equal">
      <formula>1</formula>
    </cfRule>
  </conditionalFormatting>
  <conditionalFormatting sqref="I94:I104">
    <cfRule type="expression" dxfId="1" priority="1">
      <formula>IF(OR(I$17="",I$17=0),1,0)</formula>
    </cfRule>
  </conditionalFormatting>
  <pageMargins left="0.78740157499999996" right="0.78740157499999996" top="0.984251969" bottom="0.984251969" header="0.4921259845" footer="0.492125984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9" tint="0.39997558519241921"/>
  </sheetPr>
  <dimension ref="A2:K33"/>
  <sheetViews>
    <sheetView workbookViewId="0"/>
  </sheetViews>
  <sheetFormatPr baseColWidth="10" defaultColWidth="11.5703125" defaultRowHeight="12.75"/>
  <cols>
    <col min="1" max="1" width="20" style="14" customWidth="1"/>
    <col min="2" max="2" width="37.7109375" style="14" customWidth="1"/>
    <col min="3" max="16384" width="11.5703125" style="14"/>
  </cols>
  <sheetData>
    <row r="2" spans="1:11" ht="18">
      <c r="A2" s="13" t="s">
        <v>13</v>
      </c>
      <c r="I2" s="712"/>
    </row>
    <row r="3" spans="1:11">
      <c r="A3" s="34" t="s">
        <v>1040</v>
      </c>
    </row>
    <row r="4" spans="1:11">
      <c r="A4" s="34" t="s">
        <v>1043</v>
      </c>
    </row>
    <row r="5" spans="1:11">
      <c r="A5" s="108" t="s">
        <v>1015</v>
      </c>
    </row>
    <row r="6" spans="1:11">
      <c r="A6" s="34" t="s">
        <v>1041</v>
      </c>
    </row>
    <row r="7" spans="1:11">
      <c r="A7" s="34" t="s">
        <v>1042</v>
      </c>
      <c r="I7" s="90"/>
    </row>
    <row r="8" spans="1:11" ht="18">
      <c r="A8" s="13"/>
      <c r="C8" s="299"/>
      <c r="D8" s="299"/>
      <c r="E8" s="221" t="s">
        <v>153</v>
      </c>
      <c r="I8" s="726"/>
    </row>
    <row r="9" spans="1:11" ht="18">
      <c r="A9" s="13"/>
      <c r="C9" s="299"/>
      <c r="D9" s="299"/>
      <c r="E9" s="221"/>
      <c r="I9" s="726"/>
    </row>
    <row r="10" spans="1:11">
      <c r="B10" s="21" t="s">
        <v>137</v>
      </c>
      <c r="C10" s="37" t="s">
        <v>37</v>
      </c>
      <c r="D10" s="7" t="s">
        <v>30</v>
      </c>
      <c r="E10" s="15" t="s">
        <v>179</v>
      </c>
      <c r="I10" s="726"/>
    </row>
    <row r="11" spans="1:11">
      <c r="B11" s="609"/>
      <c r="C11" s="77"/>
      <c r="D11" s="609"/>
      <c r="E11" s="15"/>
      <c r="G11" s="34"/>
      <c r="I11" s="726"/>
    </row>
    <row r="12" spans="1:11">
      <c r="B12" s="14" t="s">
        <v>146</v>
      </c>
      <c r="C12" s="654">
        <v>3</v>
      </c>
      <c r="D12" s="654">
        <v>20</v>
      </c>
      <c r="E12" s="11"/>
      <c r="G12" s="34"/>
      <c r="H12" s="646"/>
      <c r="I12" s="726"/>
    </row>
    <row r="13" spans="1:11">
      <c r="B13" s="14" t="s">
        <v>147</v>
      </c>
      <c r="C13" s="654">
        <v>10</v>
      </c>
      <c r="D13" s="654">
        <v>40</v>
      </c>
      <c r="E13" s="11"/>
      <c r="G13" s="34"/>
    </row>
    <row r="14" spans="1:11">
      <c r="B14" s="14" t="s">
        <v>32</v>
      </c>
      <c r="C14" s="654">
        <v>15</v>
      </c>
      <c r="D14" s="655">
        <v>35</v>
      </c>
      <c r="E14" s="11"/>
    </row>
    <row r="15" spans="1:11">
      <c r="C15" s="271"/>
      <c r="D15" s="271"/>
    </row>
    <row r="16" spans="1:11" ht="14.25">
      <c r="B16" s="34" t="s">
        <v>515</v>
      </c>
      <c r="C16" s="654">
        <v>25</v>
      </c>
      <c r="D16" s="655">
        <v>65</v>
      </c>
      <c r="E16" s="39"/>
      <c r="F16" s="715"/>
      <c r="G16" s="292"/>
      <c r="H16" s="292"/>
      <c r="K16" s="292"/>
    </row>
    <row r="17" spans="1:11" ht="14.25">
      <c r="B17" s="34" t="s">
        <v>516</v>
      </c>
      <c r="C17" s="654">
        <v>35</v>
      </c>
      <c r="D17" s="655">
        <v>70</v>
      </c>
      <c r="E17" s="39"/>
      <c r="F17" s="715"/>
      <c r="G17" s="292"/>
      <c r="H17" s="292"/>
      <c r="K17" s="292"/>
    </row>
    <row r="18" spans="1:11">
      <c r="B18" s="34" t="s">
        <v>648</v>
      </c>
      <c r="C18" s="654">
        <v>50</v>
      </c>
      <c r="D18" s="654">
        <v>80</v>
      </c>
      <c r="E18" s="323"/>
      <c r="F18" s="292"/>
      <c r="G18" s="292"/>
      <c r="H18" s="292"/>
    </row>
    <row r="19" spans="1:11">
      <c r="B19" s="6" t="s">
        <v>27</v>
      </c>
      <c r="C19" s="654">
        <v>70</v>
      </c>
      <c r="D19" s="655">
        <v>150</v>
      </c>
      <c r="E19" s="323"/>
      <c r="F19" s="292"/>
      <c r="G19" s="292"/>
      <c r="H19" s="292"/>
    </row>
    <row r="20" spans="1:11">
      <c r="B20" s="6"/>
      <c r="C20" s="271"/>
      <c r="D20" s="656"/>
    </row>
    <row r="21" spans="1:11">
      <c r="B21" s="6" t="s">
        <v>14</v>
      </c>
      <c r="C21" s="654">
        <v>0</v>
      </c>
      <c r="D21" s="655">
        <v>30</v>
      </c>
      <c r="E21" s="39"/>
    </row>
    <row r="22" spans="1:11">
      <c r="B22" s="6" t="s">
        <v>15</v>
      </c>
      <c r="C22" s="654">
        <v>5</v>
      </c>
      <c r="D22" s="655">
        <v>50</v>
      </c>
      <c r="E22" s="11"/>
      <c r="G22" s="292"/>
    </row>
    <row r="23" spans="1:11">
      <c r="B23" s="101" t="s">
        <v>1016</v>
      </c>
      <c r="C23" s="654">
        <v>30</v>
      </c>
      <c r="D23" s="655">
        <v>100</v>
      </c>
      <c r="E23" s="11"/>
    </row>
    <row r="25" spans="1:11">
      <c r="B25" s="299"/>
      <c r="C25" s="299"/>
      <c r="D25" s="299"/>
    </row>
    <row r="26" spans="1:11">
      <c r="B26" s="299"/>
      <c r="C26" s="299"/>
      <c r="D26" s="299"/>
    </row>
    <row r="27" spans="1:11">
      <c r="A27" s="14" t="s">
        <v>1038</v>
      </c>
      <c r="B27" s="299"/>
      <c r="C27" s="299"/>
      <c r="D27" s="299"/>
    </row>
    <row r="28" spans="1:11">
      <c r="A28" s="108" t="s">
        <v>1029</v>
      </c>
      <c r="B28" s="716" t="s">
        <v>1027</v>
      </c>
      <c r="D28" s="299"/>
    </row>
    <row r="29" spans="1:11">
      <c r="A29" s="108" t="s">
        <v>1030</v>
      </c>
      <c r="B29" s="716" t="s">
        <v>1028</v>
      </c>
      <c r="D29" s="299"/>
    </row>
    <row r="30" spans="1:11">
      <c r="A30" s="108" t="s">
        <v>1031</v>
      </c>
      <c r="B30" s="716" t="s">
        <v>1025</v>
      </c>
    </row>
    <row r="31" spans="1:11">
      <c r="A31" s="713"/>
      <c r="B31" s="714"/>
    </row>
    <row r="33" spans="2:2">
      <c r="B33" s="714"/>
    </row>
  </sheetData>
  <sheetProtection password="AAA9" sheet="1" objects="1" scenarios="1"/>
  <phoneticPr fontId="5" type="noConversion"/>
  <hyperlinks>
    <hyperlink ref="B28" r:id="rId1" display="https://eur01.safelinks.protection.outlook.com/?url=https%3A%2F%2Fopenknowledge.worldbank.org%2Fhandle%2F10986%2F30317&amp;data=05%7C01%7Cchristoph.engelhardt%40giz.de%7C5423556d9c29450176f008dabd4364b8%7C5bbab28cdef3460488225e707da8dba8%7C0%7C0%7C638030394435531131%7CUnknown%7CTWFpbGZsb3d8eyJWIjoiMC4wLjAwMDAiLCJQIjoiV2luMzIiLCJBTiI6Ik1haWwiLCJXVCI6Mn0%3D%7C3000%7C%7C%7C&amp;sdata=9Kixf3I9HVB3f3E06t%2F%2FNgWVZ0SJmb8oMgmc%2BdqA0nA%3D&amp;reserved=0" xr:uid="{6D22DFF9-C9F4-4435-A5B3-73268EF9DC91}"/>
    <hyperlink ref="B29" r:id="rId2" display="https://eur01.safelinks.protection.outlook.com/?url=https%3A%2F%2Frosdok.uni-rostock.de%2Ffile%2Frosdok_derivate_0000005003%2FDissertation_Pfaff-Simoneit_2013.pdf&amp;data=05%7C01%7Cchristoph.engelhardt%40giz.de%7C5423556d9c29450176f008dabd4364b8%7C5bbab28cdef3460488225e707da8dba8%7C0%7C0%7C638030394435531131%7CUnknown%7CTWFpbGZsb3d8eyJWIjoiMC4wLjAwMDAiLCJQIjoiV2luMzIiLCJBTiI6Ik1haWwiLCJXVCI6Mn0%3D%7C3000%7C%7C%7C&amp;sdata=lZHHz4D%2Bwq8nCyPRJsFHxAcvHCl2MMXxiBnegFhCLfs%3D&amp;reserved=0" xr:uid="{5010D74E-0287-4DFE-892B-29BC9250FD4E}"/>
    <hyperlink ref="B30" r:id="rId3" display="https://eur01.safelinks.protection.outlook.com/?url=https%3A%2F%2Fwww.unep.org%2Fresources%2Freport%2Fglobal-waste-management-outlook&amp;data=05%7C01%7Cchristoph.engelhardt%40giz.de%7C5423556d9c29450176f008dabd4364b8%7C5bbab28cdef3460488225e707da8dba8%7C0%7C0%7C638030394435531131%7CUnknown%7CTWFpbGZsb3d8eyJWIjoiMC4wLjAwMDAiLCJQIjoiV2luMzIiLCJBTiI6Ik1haWwiLCJXVCI6Mn0%3D%7C3000%7C%7C%7C&amp;sdata=zNSK8kXhL9aRQvCTecg73zERxjhfRIdCXAWIkmYhZ%2Fs%3D&amp;reserved=0" xr:uid="{01B970DD-DE94-4557-A873-6620805D207E}"/>
  </hyperlinks>
  <pageMargins left="0.78740157499999996" right="0.78740157499999996" top="0.984251969" bottom="0.984251969" header="0.4921259845" footer="0.4921259845"/>
  <pageSetup paperSize="9" orientation="portrait" horizontalDpi="1200" verticalDpi="1200" r:id="rId4"/>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AO173"/>
  <sheetViews>
    <sheetView zoomScaleNormal="100" workbookViewId="0"/>
  </sheetViews>
  <sheetFormatPr baseColWidth="10" defaultColWidth="11.42578125" defaultRowHeight="12.75"/>
  <cols>
    <col min="1" max="1" width="12.140625" style="125" customWidth="1"/>
    <col min="2" max="2" width="30.42578125" style="125" bestFit="1" customWidth="1"/>
    <col min="3" max="3" width="11.7109375" style="125" customWidth="1"/>
    <col min="4" max="8" width="12.5703125" style="125" customWidth="1"/>
    <col min="9" max="9" width="2.28515625" style="133" customWidth="1"/>
    <col min="10" max="10" width="16.85546875" style="140" customWidth="1"/>
    <col min="11" max="17" width="10.85546875" style="140" customWidth="1"/>
    <col min="18" max="18" width="2.28515625" style="133" customWidth="1"/>
    <col min="19" max="19" width="43.7109375" style="125" customWidth="1"/>
    <col min="20" max="20" width="15.28515625" style="125" customWidth="1"/>
    <col min="21" max="21" width="18" style="125" customWidth="1"/>
    <col min="22" max="23" width="12.28515625" style="125" customWidth="1"/>
    <col min="24" max="24" width="12" style="125" customWidth="1"/>
    <col min="25" max="25" width="12.140625" style="125" customWidth="1"/>
    <col min="26" max="26" width="16.140625" style="125" customWidth="1"/>
    <col min="27" max="27" width="12.28515625" style="125" bestFit="1" customWidth="1"/>
    <col min="28" max="28" width="2.28515625" style="133" customWidth="1"/>
    <col min="29" max="29" width="11.5703125" style="97" customWidth="1"/>
    <col min="30" max="30" width="26.7109375" style="97" customWidth="1"/>
    <col min="31" max="31" width="14" style="97" customWidth="1"/>
    <col min="32" max="32" width="12.7109375" style="97" customWidth="1"/>
    <col min="33" max="35" width="12.140625" style="97" bestFit="1" customWidth="1"/>
    <col min="36" max="36" width="54" style="125" customWidth="1"/>
    <col min="37" max="16384" width="11.42578125" style="125"/>
  </cols>
  <sheetData>
    <row r="1" spans="1:41" s="391" customFormat="1" ht="18">
      <c r="A1" s="172" t="s">
        <v>760</v>
      </c>
      <c r="B1" s="382"/>
      <c r="C1" s="382"/>
      <c r="D1" s="382"/>
      <c r="E1" s="382"/>
      <c r="F1" s="382"/>
      <c r="G1" s="382"/>
      <c r="H1" s="382"/>
      <c r="I1" s="383"/>
      <c r="J1" s="172" t="s">
        <v>647</v>
      </c>
      <c r="K1" s="384"/>
      <c r="L1" s="384"/>
      <c r="M1" s="384"/>
      <c r="N1" s="384"/>
      <c r="O1" s="384"/>
      <c r="P1" s="384"/>
      <c r="Q1" s="384"/>
      <c r="R1" s="383"/>
      <c r="S1" s="172" t="s">
        <v>763</v>
      </c>
      <c r="T1" s="382"/>
      <c r="U1" s="382"/>
      <c r="V1" s="382"/>
      <c r="W1" s="382"/>
      <c r="X1" s="382"/>
      <c r="Y1" s="382"/>
      <c r="Z1" s="382"/>
      <c r="AA1" s="385"/>
      <c r="AB1" s="383"/>
      <c r="AC1" s="386" t="s">
        <v>709</v>
      </c>
      <c r="AD1" s="387"/>
      <c r="AE1" s="388"/>
      <c r="AF1" s="388"/>
      <c r="AG1" s="388"/>
      <c r="AH1" s="389"/>
      <c r="AI1" s="386" t="s">
        <v>190</v>
      </c>
      <c r="AJ1" s="388"/>
      <c r="AK1" s="388"/>
      <c r="AL1" s="388"/>
      <c r="AM1" s="388"/>
      <c r="AN1" s="388"/>
      <c r="AO1" s="390"/>
    </row>
    <row r="2" spans="1:41">
      <c r="S2" s="121" t="s">
        <v>183</v>
      </c>
      <c r="AA2" s="392"/>
      <c r="AC2" s="393" t="s">
        <v>207</v>
      </c>
      <c r="AD2" s="394" t="str">
        <f>+Start!$B$84</f>
        <v>CO2 fossil</v>
      </c>
      <c r="AE2" s="395">
        <f>+Start!$D$84</f>
        <v>1</v>
      </c>
      <c r="AF2" s="125"/>
      <c r="AG2" s="125"/>
      <c r="AH2" s="392"/>
      <c r="AI2" s="125"/>
      <c r="AK2" s="121" t="str">
        <f>+Recycling!$E$9</f>
        <v>Status Quo</v>
      </c>
      <c r="AL2" s="121" t="str">
        <f>+Recycling!$G$9</f>
        <v>Scenario 1</v>
      </c>
      <c r="AM2" s="121" t="str">
        <f>+Recycling!$H$9</f>
        <v>Scenario 2</v>
      </c>
      <c r="AN2" s="121" t="str">
        <f>+Recycling!$I$9</f>
        <v>Scenario 3</v>
      </c>
      <c r="AO2" s="97"/>
    </row>
    <row r="3" spans="1:41">
      <c r="A3" s="121" t="s">
        <v>761</v>
      </c>
      <c r="J3" s="120" t="s">
        <v>115</v>
      </c>
      <c r="K3" s="396"/>
      <c r="L3" s="396"/>
      <c r="M3" s="396"/>
      <c r="N3" s="396"/>
      <c r="O3" s="396"/>
      <c r="P3" s="396"/>
      <c r="Q3" s="396"/>
      <c r="U3" s="121" t="s">
        <v>207</v>
      </c>
      <c r="V3" s="397"/>
      <c r="AA3" s="392"/>
      <c r="AC3" s="398"/>
      <c r="AD3" s="127" t="str">
        <f>+Start!$B$85</f>
        <v>CH4 - non fossil</v>
      </c>
      <c r="AE3" s="399">
        <f>+Start!$D$85</f>
        <v>27.2</v>
      </c>
      <c r="AF3" s="125"/>
      <c r="AG3" s="125"/>
      <c r="AH3" s="392"/>
      <c r="AI3" s="125"/>
      <c r="AK3" s="121" t="s">
        <v>56</v>
      </c>
      <c r="AL3" s="121" t="s">
        <v>56</v>
      </c>
      <c r="AM3" s="121" t="s">
        <v>56</v>
      </c>
      <c r="AN3" s="121" t="s">
        <v>56</v>
      </c>
      <c r="AO3" s="97"/>
    </row>
    <row r="4" spans="1:41">
      <c r="B4" s="125" t="s">
        <v>750</v>
      </c>
      <c r="C4" s="125">
        <v>0.86</v>
      </c>
      <c r="D4" s="125" t="s">
        <v>749</v>
      </c>
      <c r="S4" s="122" t="s">
        <v>65</v>
      </c>
      <c r="T4" s="123" t="s">
        <v>47</v>
      </c>
      <c r="U4" s="124">
        <f>+Start!$E$72</f>
        <v>0</v>
      </c>
      <c r="V4" s="125" t="s">
        <v>716</v>
      </c>
      <c r="AA4" s="392"/>
      <c r="AC4" s="398"/>
      <c r="AD4" s="127" t="str">
        <f>+Start!$B$86</f>
        <v>CH4 - fossil</v>
      </c>
      <c r="AE4" s="399">
        <f>+Start!$D$86</f>
        <v>29.8</v>
      </c>
      <c r="AF4" s="125"/>
      <c r="AG4" s="125"/>
      <c r="AH4" s="392"/>
      <c r="AI4" s="125"/>
      <c r="AJ4" s="125" t="s">
        <v>8</v>
      </c>
      <c r="AK4" s="401">
        <f>SUM(D74:D78)*Costs!$E$21</f>
        <v>0</v>
      </c>
      <c r="AL4" s="401">
        <f>SUM(E74:E78)*Costs!$E$21</f>
        <v>0</v>
      </c>
      <c r="AM4" s="401">
        <f>SUM(F74:F78)*Costs!$E$21</f>
        <v>0</v>
      </c>
      <c r="AN4" s="401">
        <f>SUM(G74:G78)*Costs!$E$21</f>
        <v>0</v>
      </c>
      <c r="AO4" s="97"/>
    </row>
    <row r="5" spans="1:41">
      <c r="B5" s="125" t="s">
        <v>751</v>
      </c>
      <c r="C5" s="125">
        <v>42.6</v>
      </c>
      <c r="D5" s="125" t="s">
        <v>752</v>
      </c>
      <c r="J5" s="125"/>
      <c r="K5" s="125"/>
      <c r="L5" s="402"/>
      <c r="M5" s="121" t="str">
        <f>+Recycling!$E$9</f>
        <v>Status Quo</v>
      </c>
      <c r="N5" s="121" t="str">
        <f>+Recycling!$G$9</f>
        <v>Scenario 1</v>
      </c>
      <c r="O5" s="121" t="str">
        <f>+Recycling!$H$9</f>
        <v>Scenario 2</v>
      </c>
      <c r="P5" s="121" t="str">
        <f>+Recycling!$I$9</f>
        <v>Scenario 3</v>
      </c>
      <c r="S5" s="122" t="s">
        <v>66</v>
      </c>
      <c r="T5" s="123" t="s">
        <v>715</v>
      </c>
      <c r="U5" s="126">
        <f>+Factors!$P$32</f>
        <v>267.67151999999999</v>
      </c>
      <c r="V5" s="97" t="s">
        <v>718</v>
      </c>
      <c r="AA5" s="392"/>
      <c r="AC5" s="403"/>
      <c r="AD5" s="134" t="str">
        <f>+Start!$B$87</f>
        <v>N2O</v>
      </c>
      <c r="AE5" s="404">
        <f>+Start!$D$87</f>
        <v>273</v>
      </c>
      <c r="AF5" s="125"/>
      <c r="AG5" s="125"/>
      <c r="AH5" s="392"/>
      <c r="AI5" s="125"/>
      <c r="AJ5" s="125" t="s">
        <v>9</v>
      </c>
      <c r="AK5" s="401">
        <f>+(D72+D73)*Recycling!$E$31*Costs!$E$22</f>
        <v>0</v>
      </c>
      <c r="AL5" s="401">
        <f>+(E72+E73)*Recycling!$G$31*Costs!$E$22</f>
        <v>0</v>
      </c>
      <c r="AM5" s="401">
        <f>+(F72+F73)*Recycling!$H$31*Costs!$E$22</f>
        <v>0</v>
      </c>
      <c r="AN5" s="401">
        <f>+(G72+G73)*Recycling!$I$31*Costs!E$22</f>
        <v>0</v>
      </c>
      <c r="AO5" s="97"/>
    </row>
    <row r="6" spans="1:41">
      <c r="B6" s="125" t="s">
        <v>754</v>
      </c>
      <c r="C6" s="405">
        <v>0.71573934485984803</v>
      </c>
      <c r="D6" s="125" t="s">
        <v>801</v>
      </c>
      <c r="J6" s="400" t="s">
        <v>724</v>
      </c>
      <c r="K6" s="125"/>
      <c r="L6" s="125"/>
      <c r="M6" s="125"/>
      <c r="N6" s="125"/>
      <c r="O6" s="125"/>
      <c r="P6" s="125"/>
      <c r="S6" s="122" t="s">
        <v>66</v>
      </c>
      <c r="T6" s="123" t="s">
        <v>281</v>
      </c>
      <c r="U6" s="126">
        <f>+Factors!$P$36</f>
        <v>202.16556</v>
      </c>
      <c r="V6" s="97" t="s">
        <v>718</v>
      </c>
      <c r="AA6" s="392"/>
      <c r="AC6" s="121"/>
      <c r="AD6" s="402"/>
      <c r="AE6" s="125"/>
      <c r="AF6" s="125"/>
      <c r="AG6" s="125"/>
      <c r="AH6" s="392"/>
      <c r="AI6" s="125"/>
      <c r="AJ6" s="125" t="s">
        <v>10</v>
      </c>
      <c r="AK6" s="401">
        <f>+(D72+D73)*Recycling!$E$32*Costs!$E$23</f>
        <v>0</v>
      </c>
      <c r="AL6" s="401">
        <f>+(E72+E73)*Recycling!$G$32*Costs!$E$23</f>
        <v>0</v>
      </c>
      <c r="AM6" s="401">
        <f>+(F72+F73)*Recycling!$H$32*Costs!$E$23</f>
        <v>0</v>
      </c>
      <c r="AN6" s="401">
        <f>+(G72+G73)*Recycling!$I$32*Costs!$E$23</f>
        <v>0</v>
      </c>
      <c r="AO6" s="97"/>
    </row>
    <row r="7" spans="1:41">
      <c r="B7" s="125" t="s">
        <v>753</v>
      </c>
      <c r="C7" s="125">
        <v>50</v>
      </c>
      <c r="D7" s="125" t="s">
        <v>752</v>
      </c>
      <c r="E7" s="406">
        <f>+C6*C7/3.6</f>
        <v>9.9408242341645572</v>
      </c>
      <c r="F7" s="125" t="s">
        <v>780</v>
      </c>
      <c r="J7" s="121"/>
      <c r="K7" s="125"/>
      <c r="L7" s="127" t="s">
        <v>90</v>
      </c>
      <c r="M7" s="401">
        <f>+D72</f>
        <v>0</v>
      </c>
      <c r="N7" s="401">
        <f t="shared" ref="M7:P13" si="0">+E72</f>
        <v>0</v>
      </c>
      <c r="O7" s="401">
        <f t="shared" si="0"/>
        <v>0</v>
      </c>
      <c r="P7" s="401">
        <f t="shared" si="0"/>
        <v>0</v>
      </c>
      <c r="S7" s="125" t="s">
        <v>66</v>
      </c>
      <c r="T7" s="123" t="s">
        <v>64</v>
      </c>
      <c r="U7" s="126">
        <f>+Factors!$P$38</f>
        <v>261.0206</v>
      </c>
      <c r="V7" s="97" t="s">
        <v>717</v>
      </c>
      <c r="AA7" s="392"/>
      <c r="AI7" s="125"/>
      <c r="AJ7" s="125" t="s">
        <v>87</v>
      </c>
      <c r="AK7" s="401">
        <f>+M31*Costs!$E$12</f>
        <v>0</v>
      </c>
      <c r="AL7" s="401">
        <f>+N31*Costs!$E$12</f>
        <v>0</v>
      </c>
      <c r="AM7" s="401">
        <f>+O31*Costs!$E$12</f>
        <v>0</v>
      </c>
      <c r="AN7" s="401">
        <f>+P31*Costs!$E$12</f>
        <v>0</v>
      </c>
      <c r="AO7" s="97"/>
    </row>
    <row r="8" spans="1:41">
      <c r="J8" s="125"/>
      <c r="K8" s="125"/>
      <c r="L8" s="127" t="s">
        <v>101</v>
      </c>
      <c r="M8" s="401">
        <f t="shared" si="0"/>
        <v>0</v>
      </c>
      <c r="N8" s="401">
        <f t="shared" si="0"/>
        <v>0</v>
      </c>
      <c r="O8" s="401">
        <f t="shared" si="0"/>
        <v>0</v>
      </c>
      <c r="P8" s="401">
        <f t="shared" si="0"/>
        <v>0</v>
      </c>
      <c r="S8" s="125" t="s">
        <v>66</v>
      </c>
      <c r="T8" s="123" t="s">
        <v>839</v>
      </c>
      <c r="U8" s="126">
        <f>+Factors!$P$34</f>
        <v>365.18148000000002</v>
      </c>
      <c r="V8" s="97" t="s">
        <v>718</v>
      </c>
      <c r="AA8" s="392"/>
      <c r="AC8" s="121" t="s">
        <v>188</v>
      </c>
      <c r="AD8" s="402"/>
      <c r="AE8" s="125"/>
      <c r="AF8" s="125"/>
      <c r="AG8" s="125"/>
      <c r="AH8" s="392"/>
      <c r="AI8" s="125"/>
      <c r="AJ8" s="125" t="s">
        <v>57</v>
      </c>
      <c r="AK8" s="401">
        <f>+M32*Costs!$E$13</f>
        <v>0</v>
      </c>
      <c r="AL8" s="401">
        <f>+N32*Costs!$E$13</f>
        <v>0</v>
      </c>
      <c r="AM8" s="401">
        <f>+O32*Costs!$E$13</f>
        <v>0</v>
      </c>
      <c r="AN8" s="401">
        <f>+P32*Costs!$E$13</f>
        <v>0</v>
      </c>
      <c r="AO8" s="97"/>
    </row>
    <row r="9" spans="1:41">
      <c r="J9" s="125"/>
      <c r="K9" s="125"/>
      <c r="L9" s="127" t="s">
        <v>20</v>
      </c>
      <c r="M9" s="401">
        <f t="shared" si="0"/>
        <v>0</v>
      </c>
      <c r="N9" s="401">
        <f t="shared" si="0"/>
        <v>0</v>
      </c>
      <c r="O9" s="401">
        <f t="shared" si="0"/>
        <v>0</v>
      </c>
      <c r="P9" s="401">
        <f t="shared" si="0"/>
        <v>0</v>
      </c>
      <c r="AA9" s="392"/>
      <c r="AC9" s="125"/>
      <c r="AD9" s="402"/>
      <c r="AE9" s="125"/>
      <c r="AF9" s="125"/>
      <c r="AG9" s="125"/>
      <c r="AH9" s="392"/>
      <c r="AI9" s="125"/>
      <c r="AJ9" s="125" t="s">
        <v>88</v>
      </c>
      <c r="AK9" s="401">
        <f>+M33*Costs!$E$14</f>
        <v>0</v>
      </c>
      <c r="AL9" s="401">
        <f>+N33*Costs!$E$14</f>
        <v>0</v>
      </c>
      <c r="AM9" s="401">
        <f>+O33*Costs!$E$14</f>
        <v>0</v>
      </c>
      <c r="AN9" s="401">
        <f>+P33*Costs!$E$14</f>
        <v>0</v>
      </c>
      <c r="AO9" s="97"/>
    </row>
    <row r="10" spans="1:41">
      <c r="J10" s="125"/>
      <c r="K10" s="125"/>
      <c r="L10" s="127" t="s">
        <v>21</v>
      </c>
      <c r="M10" s="401">
        <f t="shared" si="0"/>
        <v>0</v>
      </c>
      <c r="N10" s="401">
        <f t="shared" si="0"/>
        <v>0</v>
      </c>
      <c r="O10" s="401">
        <f t="shared" si="0"/>
        <v>0</v>
      </c>
      <c r="P10" s="401">
        <f t="shared" si="0"/>
        <v>0</v>
      </c>
      <c r="AA10" s="392"/>
      <c r="AC10" s="125"/>
      <c r="AD10" s="402"/>
      <c r="AE10" s="121" t="str">
        <f>+Recycling!$E$9</f>
        <v>Status Quo</v>
      </c>
      <c r="AF10" s="121" t="str">
        <f>+Recycling!$G$9</f>
        <v>Scenario 1</v>
      </c>
      <c r="AG10" s="121" t="str">
        <f>+Recycling!$H$9</f>
        <v>Scenario 2</v>
      </c>
      <c r="AH10" s="129" t="str">
        <f>+Recycling!$I$9</f>
        <v>Scenario 3</v>
      </c>
      <c r="AI10" s="125"/>
      <c r="AJ10" s="123" t="s">
        <v>1017</v>
      </c>
      <c r="AK10" s="407">
        <f>+M34*Costs!$E$16</f>
        <v>0</v>
      </c>
      <c r="AL10" s="407">
        <f>+N34*Costs!$E$16</f>
        <v>0</v>
      </c>
      <c r="AM10" s="407">
        <f>+O34*Costs!$E$16</f>
        <v>0</v>
      </c>
      <c r="AN10" s="407">
        <f>+P34*Costs!$E$16</f>
        <v>0</v>
      </c>
      <c r="AO10" s="97"/>
    </row>
    <row r="11" spans="1:41">
      <c r="A11" s="121" t="s">
        <v>184</v>
      </c>
      <c r="B11" s="165"/>
      <c r="C11" s="124"/>
      <c r="D11" s="124"/>
      <c r="E11" s="145"/>
      <c r="F11" s="124"/>
      <c r="G11" s="124"/>
      <c r="J11" s="125"/>
      <c r="K11" s="125"/>
      <c r="L11" s="127" t="s">
        <v>22</v>
      </c>
      <c r="M11" s="401">
        <f t="shared" si="0"/>
        <v>0</v>
      </c>
      <c r="N11" s="401">
        <f t="shared" si="0"/>
        <v>0</v>
      </c>
      <c r="O11" s="401">
        <f t="shared" si="0"/>
        <v>0</v>
      </c>
      <c r="P11" s="401">
        <f t="shared" si="0"/>
        <v>0</v>
      </c>
      <c r="S11" s="120" t="s">
        <v>115</v>
      </c>
      <c r="T11" s="396"/>
      <c r="U11" s="396"/>
      <c r="V11" s="396"/>
      <c r="W11" s="396"/>
      <c r="X11" s="396"/>
      <c r="Y11" s="396"/>
      <c r="Z11" s="396"/>
      <c r="AA11" s="408"/>
      <c r="AC11" s="125"/>
      <c r="AD11" s="409" t="s">
        <v>166</v>
      </c>
      <c r="AE11" s="121" t="s">
        <v>645</v>
      </c>
      <c r="AF11" s="125"/>
      <c r="AG11" s="125"/>
      <c r="AH11" s="392"/>
      <c r="AI11" s="125"/>
      <c r="AJ11" s="123" t="s">
        <v>1018</v>
      </c>
      <c r="AK11" s="407">
        <f>+M35*Costs!$E$17</f>
        <v>0</v>
      </c>
      <c r="AL11" s="407">
        <f>+N35*Costs!$E$17</f>
        <v>0</v>
      </c>
      <c r="AM11" s="407">
        <f>+O35*Costs!$E$17</f>
        <v>0</v>
      </c>
      <c r="AN11" s="407">
        <f>+P35*Costs!$E$17</f>
        <v>0</v>
      </c>
      <c r="AO11" s="97"/>
    </row>
    <row r="12" spans="1:41">
      <c r="B12" s="410"/>
      <c r="C12" s="130" t="s">
        <v>507</v>
      </c>
      <c r="D12" s="130"/>
      <c r="F12" s="136"/>
      <c r="J12" s="125"/>
      <c r="K12" s="125"/>
      <c r="L12" s="127" t="s">
        <v>93</v>
      </c>
      <c r="M12" s="401">
        <f t="shared" si="0"/>
        <v>0</v>
      </c>
      <c r="N12" s="401">
        <f t="shared" si="0"/>
        <v>0</v>
      </c>
      <c r="O12" s="401">
        <f t="shared" si="0"/>
        <v>0</v>
      </c>
      <c r="P12" s="401">
        <f t="shared" si="0"/>
        <v>0</v>
      </c>
      <c r="S12" s="121" t="s">
        <v>775</v>
      </c>
      <c r="AA12" s="392"/>
      <c r="AC12" s="125"/>
      <c r="AD12" s="131" t="str">
        <f t="shared" ref="AD12:AD18" si="1">+$L7</f>
        <v>Food waste</v>
      </c>
      <c r="AE12" s="401">
        <f>+(M18*$U$16+M19*$V$40)/1000</f>
        <v>0</v>
      </c>
      <c r="AF12" s="401">
        <f>+(N18*$U$16+N19*$W$40)/1000</f>
        <v>0</v>
      </c>
      <c r="AG12" s="401">
        <f>+(O18*$U$16+O19*$X$40)/1000</f>
        <v>0</v>
      </c>
      <c r="AH12" s="392">
        <f>+(P18*$U$16+P19*$Y$40)/1000</f>
        <v>0</v>
      </c>
      <c r="AI12" s="125"/>
      <c r="AJ12" s="123" t="s">
        <v>1019</v>
      </c>
      <c r="AK12" s="407">
        <f>+M36*Costs!$E$18</f>
        <v>0</v>
      </c>
      <c r="AL12" s="407">
        <f>+N36*Costs!$E$18</f>
        <v>0</v>
      </c>
      <c r="AM12" s="407">
        <f>+O36*Costs!$E$18</f>
        <v>0</v>
      </c>
      <c r="AN12" s="407">
        <f>+P36*Costs!$E$18</f>
        <v>0</v>
      </c>
      <c r="AO12" s="97"/>
    </row>
    <row r="13" spans="1:41">
      <c r="B13" s="132" t="s">
        <v>157</v>
      </c>
      <c r="C13" s="615" t="s">
        <v>67</v>
      </c>
      <c r="D13" s="615" t="s">
        <v>68</v>
      </c>
      <c r="F13" s="412"/>
      <c r="G13" s="413"/>
      <c r="H13" s="414"/>
      <c r="I13" s="133" t="s">
        <v>28</v>
      </c>
      <c r="J13" s="125"/>
      <c r="K13" s="125"/>
      <c r="L13" s="134" t="s">
        <v>94</v>
      </c>
      <c r="M13" s="411">
        <f t="shared" si="0"/>
        <v>0</v>
      </c>
      <c r="N13" s="411">
        <f t="shared" si="0"/>
        <v>0</v>
      </c>
      <c r="O13" s="411">
        <f t="shared" si="0"/>
        <v>0</v>
      </c>
      <c r="P13" s="411">
        <f t="shared" si="0"/>
        <v>0</v>
      </c>
      <c r="R13" s="133" t="s">
        <v>28</v>
      </c>
      <c r="S13" s="409"/>
      <c r="T13" s="135" t="s">
        <v>774</v>
      </c>
      <c r="U13" s="135" t="s">
        <v>774</v>
      </c>
      <c r="AA13" s="415"/>
      <c r="AB13" s="133" t="s">
        <v>28</v>
      </c>
      <c r="AC13" s="125"/>
      <c r="AD13" s="131" t="str">
        <f t="shared" si="1"/>
        <v>Garden and Park waste</v>
      </c>
      <c r="AE13" s="401">
        <f>+(M21*$U$16+M22*$V$40)/1000</f>
        <v>0</v>
      </c>
      <c r="AF13" s="401">
        <f>+(N21*$U$16+N22*$W$40)/1000</f>
        <v>0</v>
      </c>
      <c r="AG13" s="401">
        <f>+(O21*$U$16+O22*$X$40)/1000</f>
        <v>0</v>
      </c>
      <c r="AH13" s="416">
        <f>+(P21*$U$16+P22*$Y$40)/1000</f>
        <v>0</v>
      </c>
      <c r="AI13" s="125"/>
      <c r="AJ13" s="128" t="s">
        <v>11</v>
      </c>
      <c r="AK13" s="411">
        <f>+M37*Costs!$E$19</f>
        <v>0</v>
      </c>
      <c r="AL13" s="411">
        <f>+N37*Costs!$E$19</f>
        <v>0</v>
      </c>
      <c r="AM13" s="411">
        <f>+O37*Costs!$E$19</f>
        <v>0</v>
      </c>
      <c r="AN13" s="411">
        <f>+P37*Costs!$E$19</f>
        <v>0</v>
      </c>
      <c r="AO13" s="97"/>
    </row>
    <row r="14" spans="1:41">
      <c r="B14" s="130"/>
      <c r="C14" s="130" t="s">
        <v>70</v>
      </c>
      <c r="D14" s="130" t="s">
        <v>508</v>
      </c>
      <c r="F14" s="136"/>
      <c r="G14" s="136"/>
      <c r="H14" s="136"/>
      <c r="J14" s="125"/>
      <c r="K14" s="125"/>
      <c r="L14" s="127" t="s">
        <v>168</v>
      </c>
      <c r="M14" s="401">
        <f>SUM(M7:M13)</f>
        <v>0</v>
      </c>
      <c r="N14" s="401">
        <f>SUM(N7:N13)</f>
        <v>0</v>
      </c>
      <c r="O14" s="401">
        <f>SUM(O7:O13)</f>
        <v>0</v>
      </c>
      <c r="P14" s="401">
        <f>SUM(P7:P13)</f>
        <v>0</v>
      </c>
      <c r="S14" s="130" t="s">
        <v>764</v>
      </c>
      <c r="T14" s="93" t="s">
        <v>165</v>
      </c>
      <c r="U14" s="93" t="s">
        <v>165</v>
      </c>
      <c r="V14" s="130" t="s">
        <v>158</v>
      </c>
      <c r="W14" s="130" t="s">
        <v>22</v>
      </c>
      <c r="X14" s="130" t="s">
        <v>773</v>
      </c>
      <c r="Y14" s="130" t="s">
        <v>94</v>
      </c>
      <c r="Z14" s="130" t="s">
        <v>21</v>
      </c>
      <c r="AA14" s="415"/>
      <c r="AC14" s="125"/>
      <c r="AD14" s="127" t="str">
        <f t="shared" si="1"/>
        <v>Paper, cardboard</v>
      </c>
      <c r="AE14" s="401">
        <f>+$M$9*Factors!$C$49/1000</f>
        <v>0</v>
      </c>
      <c r="AF14" s="401">
        <f>+$N$9*Factors!$C$49/1000</f>
        <v>0</v>
      </c>
      <c r="AG14" s="401">
        <f>+$O$9*Factors!$C$49/1000</f>
        <v>0</v>
      </c>
      <c r="AH14" s="417">
        <f>+$P$9*Factors!$C$49/1000</f>
        <v>0</v>
      </c>
      <c r="AJ14" s="124" t="s">
        <v>23</v>
      </c>
      <c r="AK14" s="401">
        <f>SUM(AK4:AK13)</f>
        <v>0</v>
      </c>
      <c r="AL14" s="401">
        <f>SUM(AL4:AL13)</f>
        <v>0</v>
      </c>
      <c r="AM14" s="401">
        <f>SUM(AM4:AM13)</f>
        <v>0</v>
      </c>
      <c r="AN14" s="401">
        <f>SUM(AN4:AN13)</f>
        <v>0</v>
      </c>
      <c r="AO14" s="97"/>
    </row>
    <row r="15" spans="1:41">
      <c r="B15" s="132" t="s">
        <v>90</v>
      </c>
      <c r="C15" s="138">
        <f>+Factors!$M$136</f>
        <v>0.15200000000000002</v>
      </c>
      <c r="D15" s="138">
        <f>+Factors!$N$136</f>
        <v>0</v>
      </c>
      <c r="F15" s="418"/>
      <c r="G15" s="418"/>
      <c r="H15" s="419"/>
      <c r="S15" s="130"/>
      <c r="T15" s="93" t="s">
        <v>16</v>
      </c>
      <c r="U15" s="93" t="s">
        <v>15</v>
      </c>
      <c r="V15" s="130" t="s">
        <v>771</v>
      </c>
      <c r="W15" s="130" t="s">
        <v>772</v>
      </c>
      <c r="X15" s="130"/>
      <c r="Y15" s="130"/>
      <c r="Z15" s="130"/>
      <c r="AA15" s="415"/>
      <c r="AC15" s="125"/>
      <c r="AD15" s="127" t="str">
        <f t="shared" si="1"/>
        <v>Plastics</v>
      </c>
      <c r="AE15" s="401">
        <f>+$M$10*Factors!$C$45/1000</f>
        <v>0</v>
      </c>
      <c r="AF15" s="401">
        <f>+$N$10*Factors!$C$45/1000</f>
        <v>0</v>
      </c>
      <c r="AG15" s="401">
        <f>+$O$10*Factors!$C$45/1000</f>
        <v>0</v>
      </c>
      <c r="AH15" s="417">
        <f>+$P$10*Factors!$C$45/1000</f>
        <v>0</v>
      </c>
      <c r="AO15" s="97"/>
    </row>
    <row r="16" spans="1:41">
      <c r="B16" s="132" t="s">
        <v>99</v>
      </c>
      <c r="C16" s="138">
        <f>+Factors!$M$138</f>
        <v>0.19600000000000001</v>
      </c>
      <c r="D16" s="138">
        <f>+Factors!$N$138</f>
        <v>0</v>
      </c>
      <c r="F16" s="418"/>
      <c r="G16" s="418"/>
      <c r="H16" s="419"/>
      <c r="J16" s="420" t="s">
        <v>762</v>
      </c>
      <c r="S16" s="130" t="s">
        <v>166</v>
      </c>
      <c r="T16" s="770" t="s">
        <v>976</v>
      </c>
      <c r="U16" s="179">
        <f>+V23*$AE$3+(V24+V29)*$AE$5+V25+V26+V28</f>
        <v>186.29948333662401</v>
      </c>
      <c r="V16" s="130">
        <f>+Factors!$C$49</f>
        <v>180</v>
      </c>
      <c r="W16" s="130">
        <f>+Factors!$C$48</f>
        <v>20</v>
      </c>
      <c r="X16" s="179">
        <f>+Factors!$C$46</f>
        <v>21.784127404012555</v>
      </c>
      <c r="Y16" s="179">
        <f>+Factors!$C$47</f>
        <v>850</v>
      </c>
      <c r="Z16" s="179">
        <f>+Factors!$C$45</f>
        <v>550</v>
      </c>
      <c r="AA16" s="415"/>
      <c r="AC16" s="125"/>
      <c r="AD16" s="127" t="str">
        <f t="shared" si="1"/>
        <v>Glass</v>
      </c>
      <c r="AE16" s="401">
        <f>+$M$11*Factors!$C$48/1000</f>
        <v>0</v>
      </c>
      <c r="AF16" s="401">
        <f>+$N$11*Factors!$C$48/1000</f>
        <v>0</v>
      </c>
      <c r="AG16" s="401">
        <f>+$O$11*Factors!$C$48/1000</f>
        <v>0</v>
      </c>
      <c r="AH16" s="417">
        <f>+$P$11*Factors!$C$48/1000</f>
        <v>0</v>
      </c>
      <c r="AO16" s="97"/>
    </row>
    <row r="17" spans="1:41">
      <c r="A17" s="421"/>
      <c r="B17" s="132" t="s">
        <v>20</v>
      </c>
      <c r="C17" s="138">
        <f>+Factors!$M$134</f>
        <v>0.41400000000000003</v>
      </c>
      <c r="D17" s="138">
        <f>+Factors!$N$134</f>
        <v>0.01</v>
      </c>
      <c r="F17" s="418"/>
      <c r="G17" s="418"/>
      <c r="H17" s="419"/>
      <c r="K17" s="422" t="s">
        <v>90</v>
      </c>
      <c r="L17" s="97"/>
      <c r="S17" s="663" t="s">
        <v>509</v>
      </c>
      <c r="T17" s="771"/>
      <c r="U17" s="663">
        <f>(300*2/3+120*1/3)*$T$27</f>
        <v>96</v>
      </c>
      <c r="V17" s="663">
        <f>+Factors!$D$49</f>
        <v>630</v>
      </c>
      <c r="W17" s="663">
        <f>+Factors!$D$48</f>
        <v>500</v>
      </c>
      <c r="X17" s="662">
        <f>+Factors!$D$46</f>
        <v>1500</v>
      </c>
      <c r="Y17" s="662">
        <f>+Factors!$D$47</f>
        <v>4600</v>
      </c>
      <c r="Z17" s="662">
        <f>+Factors!$D$45</f>
        <v>1070</v>
      </c>
      <c r="AA17" s="415"/>
      <c r="AC17" s="125"/>
      <c r="AD17" s="127" t="str">
        <f t="shared" si="1"/>
        <v>Ferrous Metals</v>
      </c>
      <c r="AE17" s="401">
        <f>+$M$12*Factors!$C$46/1000</f>
        <v>0</v>
      </c>
      <c r="AF17" s="401">
        <f>+$N$12*Factors!$C$46/1000</f>
        <v>0</v>
      </c>
      <c r="AG17" s="401">
        <f>+$O$12*Factors!$C$46/1000</f>
        <v>0</v>
      </c>
      <c r="AH17" s="417">
        <f>+$P$12*Factors!$C$46/1000</f>
        <v>0</v>
      </c>
      <c r="AO17" s="97"/>
    </row>
    <row r="18" spans="1:41">
      <c r="B18" s="132" t="s">
        <v>21</v>
      </c>
      <c r="C18" s="138">
        <f>+Factors!$M$141</f>
        <v>0.75</v>
      </c>
      <c r="D18" s="138">
        <f>+Factors!$N$141</f>
        <v>1</v>
      </c>
      <c r="F18" s="418"/>
      <c r="G18" s="418"/>
      <c r="H18" s="419"/>
      <c r="K18" s="97"/>
      <c r="L18" s="423" t="s">
        <v>15</v>
      </c>
      <c r="M18" s="401">
        <f>+M7*Recycling!$E$31</f>
        <v>0</v>
      </c>
      <c r="N18" s="401">
        <f>+N7*Recycling!$G$31</f>
        <v>0</v>
      </c>
      <c r="O18" s="401">
        <f>+O7*Recycling!$H$31</f>
        <v>0</v>
      </c>
      <c r="P18" s="401">
        <f>+P7*Recycling!$I$31</f>
        <v>0</v>
      </c>
      <c r="S18" s="664" t="s">
        <v>167</v>
      </c>
      <c r="T18" s="772"/>
      <c r="U18" s="662">
        <f>+U16-U17</f>
        <v>90.299483336624007</v>
      </c>
      <c r="V18" s="663">
        <f t="shared" ref="V18:Z18" si="2">+V16-V17</f>
        <v>-450</v>
      </c>
      <c r="W18" s="663">
        <f t="shared" si="2"/>
        <v>-480</v>
      </c>
      <c r="X18" s="662">
        <f t="shared" si="2"/>
        <v>-1478.2158725959875</v>
      </c>
      <c r="Y18" s="662">
        <f t="shared" si="2"/>
        <v>-3750</v>
      </c>
      <c r="Z18" s="662">
        <f t="shared" si="2"/>
        <v>-520</v>
      </c>
      <c r="AA18" s="415"/>
      <c r="AC18" s="125"/>
      <c r="AD18" s="127" t="str">
        <f t="shared" si="1"/>
        <v>Aluminium</v>
      </c>
      <c r="AE18" s="401">
        <f>+$M$13*Factors!$C$47/1000</f>
        <v>0</v>
      </c>
      <c r="AF18" s="401">
        <f>+$N$13*Factors!$C$47/1000</f>
        <v>0</v>
      </c>
      <c r="AG18" s="401">
        <f>+$O$13*Factors!$C$47/1000</f>
        <v>0</v>
      </c>
      <c r="AH18" s="417">
        <f>+$P$13*Factors!$C$47/1000</f>
        <v>0</v>
      </c>
      <c r="AN18" s="97"/>
      <c r="AO18" s="97"/>
    </row>
    <row r="19" spans="1:41">
      <c r="B19" s="132" t="s">
        <v>22</v>
      </c>
      <c r="C19" s="138">
        <f>+Factors!$M$143</f>
        <v>0</v>
      </c>
      <c r="D19" s="138">
        <f>+Factors!$N$143</f>
        <v>0</v>
      </c>
      <c r="F19" s="418"/>
      <c r="G19" s="418"/>
      <c r="H19" s="419"/>
      <c r="K19" s="97"/>
      <c r="L19" s="423" t="s">
        <v>193</v>
      </c>
      <c r="M19" s="401">
        <f>+M7*Recycling!$E$32</f>
        <v>0</v>
      </c>
      <c r="N19" s="401">
        <f>+N7*Recycling!$G$32</f>
        <v>0</v>
      </c>
      <c r="O19" s="401">
        <f>+O7*Recycling!$H$32</f>
        <v>0</v>
      </c>
      <c r="P19" s="401">
        <f>+P7*Recycling!$I$32</f>
        <v>0</v>
      </c>
      <c r="AA19" s="392"/>
      <c r="AC19" s="125"/>
      <c r="AD19" s="409" t="s">
        <v>746</v>
      </c>
      <c r="AE19" s="121" t="s">
        <v>645</v>
      </c>
      <c r="AF19" s="125"/>
      <c r="AG19" s="125"/>
      <c r="AH19" s="392"/>
      <c r="AK19" s="97"/>
      <c r="AL19" s="97"/>
      <c r="AM19" s="97"/>
      <c r="AN19" s="97"/>
      <c r="AO19" s="97"/>
    </row>
    <row r="20" spans="1:41">
      <c r="B20" s="132" t="s">
        <v>143</v>
      </c>
      <c r="C20" s="138">
        <f>+Factors!$M$142</f>
        <v>0</v>
      </c>
      <c r="D20" s="138">
        <f>+Factors!$N$142</f>
        <v>0</v>
      </c>
      <c r="F20" s="418"/>
      <c r="G20" s="418"/>
      <c r="H20" s="419"/>
      <c r="K20" s="139" t="s">
        <v>101</v>
      </c>
      <c r="S20" s="121" t="s">
        <v>727</v>
      </c>
      <c r="AA20" s="392"/>
      <c r="AC20" s="125"/>
      <c r="AD20" s="127" t="str">
        <f t="shared" ref="AD20:AD26" si="3">+$L7</f>
        <v>Food waste</v>
      </c>
      <c r="AE20" s="401">
        <f>+(M18*$U$17+M19*$V$41)/1000*(-1)</f>
        <v>0</v>
      </c>
      <c r="AF20" s="401">
        <f>+(N18*$U$17+N19*$W$41)/1000*(-1)</f>
        <v>0</v>
      </c>
      <c r="AG20" s="401">
        <f>+(O18*$U$17+O19*$X$41)/1000*(-1)</f>
        <v>0</v>
      </c>
      <c r="AH20" s="392">
        <f>+(P18*$U$17+P19*$Y$41)/1000*(-1)</f>
        <v>0</v>
      </c>
      <c r="AK20" s="97"/>
      <c r="AL20" s="97"/>
      <c r="AM20" s="97"/>
      <c r="AN20" s="97"/>
      <c r="AO20" s="97"/>
    </row>
    <row r="21" spans="1:41">
      <c r="B21" s="132" t="s">
        <v>94</v>
      </c>
      <c r="C21" s="138">
        <f>+C20</f>
        <v>0</v>
      </c>
      <c r="D21" s="138">
        <f>+D20</f>
        <v>0</v>
      </c>
      <c r="F21" s="418"/>
      <c r="G21" s="418"/>
      <c r="H21" s="419"/>
      <c r="L21" s="423" t="s">
        <v>15</v>
      </c>
      <c r="M21" s="97">
        <f>+M8*Recycling!$E$31</f>
        <v>0</v>
      </c>
      <c r="N21" s="97">
        <f>+N8*Recycling!$G$31</f>
        <v>0</v>
      </c>
      <c r="O21" s="97">
        <f>+O8*Recycling!$H$31</f>
        <v>0</v>
      </c>
      <c r="P21" s="97">
        <f>+P8*Recycling!$I$31</f>
        <v>0</v>
      </c>
      <c r="V21" s="121" t="str">
        <f>+Recycling!$E$9</f>
        <v>Status Quo</v>
      </c>
      <c r="W21" s="121" t="str">
        <f>+Recycling!$G$9</f>
        <v>Scenario 1</v>
      </c>
      <c r="X21" s="121" t="str">
        <f>+Recycling!$H$9</f>
        <v>Scenario 2</v>
      </c>
      <c r="Y21" s="121" t="str">
        <f>+Recycling!$I$9</f>
        <v>Scenario 3</v>
      </c>
      <c r="AA21" s="392"/>
      <c r="AC21" s="125"/>
      <c r="AD21" s="127" t="str">
        <f t="shared" si="3"/>
        <v>Garden and Park waste</v>
      </c>
      <c r="AE21" s="401">
        <f>+(M21*$U$17+M22*$V$41)/1000*(-1)</f>
        <v>0</v>
      </c>
      <c r="AF21" s="401">
        <f>+(N21*$U$17+N22*$W$41)/1000*(-1)</f>
        <v>0</v>
      </c>
      <c r="AG21" s="401">
        <f>+(O21*$U$17+O22*$X$41)/1000*(-1)</f>
        <v>0</v>
      </c>
      <c r="AH21" s="416">
        <f>+(P21*$U$17+P22*$Y$41)/1000*(-1)</f>
        <v>0</v>
      </c>
      <c r="AK21" s="97"/>
      <c r="AL21" s="97"/>
      <c r="AM21" s="97"/>
      <c r="AN21" s="97"/>
      <c r="AO21" s="97"/>
    </row>
    <row r="22" spans="1:41">
      <c r="B22" s="132" t="s">
        <v>55</v>
      </c>
      <c r="C22" s="138">
        <f>+Factors!$M$135</f>
        <v>0.4</v>
      </c>
      <c r="D22" s="138">
        <f>+Factors!$N$135</f>
        <v>0.2</v>
      </c>
      <c r="F22" s="418"/>
      <c r="G22" s="418"/>
      <c r="H22" s="419"/>
      <c r="L22" s="423" t="s">
        <v>193</v>
      </c>
      <c r="M22" s="97">
        <f>+M8*Recycling!$E$32</f>
        <v>0</v>
      </c>
      <c r="N22" s="97">
        <f>+N8*Recycling!$G$32</f>
        <v>0</v>
      </c>
      <c r="O22" s="97">
        <f>+O8*Recycling!$H$32</f>
        <v>0</v>
      </c>
      <c r="P22" s="97">
        <f>+P8*Recycling!$I$32</f>
        <v>0</v>
      </c>
      <c r="S22" s="177" t="s">
        <v>755</v>
      </c>
      <c r="V22" s="125" t="s">
        <v>28</v>
      </c>
      <c r="AA22" s="392"/>
      <c r="AC22" s="125"/>
      <c r="AD22" s="127" t="str">
        <f t="shared" si="3"/>
        <v>Paper, cardboard</v>
      </c>
      <c r="AE22" s="401">
        <f>+M9*Factors!$D$49*(-1)/1000</f>
        <v>0</v>
      </c>
      <c r="AF22" s="401">
        <f>+N9*Factors!$D$49*(-1)/1000</f>
        <v>0</v>
      </c>
      <c r="AG22" s="401">
        <f>+O9*Factors!$D$49*(-1)/1000</f>
        <v>0</v>
      </c>
      <c r="AH22" s="417">
        <f>+P9*Factors!$D$49*(-1)/1000</f>
        <v>0</v>
      </c>
      <c r="AK22" s="97"/>
      <c r="AL22" s="97"/>
      <c r="AM22" s="97"/>
      <c r="AN22" s="97"/>
      <c r="AO22" s="97"/>
    </row>
    <row r="23" spans="1:41">
      <c r="B23" s="132" t="s">
        <v>89</v>
      </c>
      <c r="C23" s="138">
        <f>+Factors!$M$140</f>
        <v>0.56279999999999997</v>
      </c>
      <c r="D23" s="138">
        <f>+Factors!$N$140</f>
        <v>0.2</v>
      </c>
      <c r="F23" s="418"/>
      <c r="G23" s="418"/>
      <c r="H23" s="419"/>
      <c r="S23" s="125" t="s">
        <v>757</v>
      </c>
      <c r="V23" s="765">
        <f>+Factors!$C$59</f>
        <v>4</v>
      </c>
      <c r="W23" s="765"/>
      <c r="X23" s="765"/>
      <c r="Y23" s="765"/>
      <c r="Z23" s="125" t="s">
        <v>756</v>
      </c>
      <c r="AA23" s="424"/>
      <c r="AC23" s="125"/>
      <c r="AD23" s="127" t="str">
        <f t="shared" si="3"/>
        <v>Plastics</v>
      </c>
      <c r="AE23" s="401">
        <f>+M10*Factors!$D$45/1000*(-1)</f>
        <v>0</v>
      </c>
      <c r="AF23" s="401">
        <f>+N10*Factors!$D$45/1000*(-1)</f>
        <v>0</v>
      </c>
      <c r="AG23" s="401">
        <f>+O10*Factors!$D$45/1000*(-1)</f>
        <v>0</v>
      </c>
      <c r="AH23" s="417">
        <f>+P10*Factors!$D$45/1000*(-1)</f>
        <v>0</v>
      </c>
      <c r="AK23" s="97"/>
      <c r="AL23" s="97"/>
      <c r="AM23" s="97"/>
      <c r="AN23" s="97"/>
    </row>
    <row r="24" spans="1:41">
      <c r="B24" s="132" t="s">
        <v>92</v>
      </c>
      <c r="C24" s="138">
        <f>+Factors!$M$139</f>
        <v>0.27999999999999997</v>
      </c>
      <c r="D24" s="138">
        <f>+Factors!$N$139</f>
        <v>0.1</v>
      </c>
      <c r="F24" s="418"/>
      <c r="G24" s="418"/>
      <c r="H24" s="419"/>
      <c r="I24" s="133" t="s">
        <v>28</v>
      </c>
      <c r="R24" s="133" t="s">
        <v>28</v>
      </c>
      <c r="S24" s="122" t="s">
        <v>758</v>
      </c>
      <c r="V24" s="766">
        <f>+Factors!$D$59</f>
        <v>0.24</v>
      </c>
      <c r="W24" s="764"/>
      <c r="X24" s="764"/>
      <c r="Y24" s="764"/>
      <c r="Z24" s="125" t="s">
        <v>759</v>
      </c>
      <c r="AA24" s="424"/>
      <c r="AB24" s="133" t="s">
        <v>28</v>
      </c>
      <c r="AC24" s="125"/>
      <c r="AD24" s="127" t="str">
        <f t="shared" si="3"/>
        <v>Glass</v>
      </c>
      <c r="AE24" s="401">
        <f>+M11*Factors!$D$48/1000*(-1)</f>
        <v>0</v>
      </c>
      <c r="AF24" s="401">
        <f>+N11*Factors!$D$48/1000*(-1)</f>
        <v>0</v>
      </c>
      <c r="AG24" s="401">
        <f>+O11*Factors!$D$48/1000*(-1)</f>
        <v>0</v>
      </c>
      <c r="AH24" s="417">
        <f>+P11*Factors!$D$48/1000*(-1)</f>
        <v>0</v>
      </c>
      <c r="AK24" s="97"/>
      <c r="AL24" s="97"/>
      <c r="AM24" s="97"/>
      <c r="AN24" s="97"/>
    </row>
    <row r="25" spans="1:41">
      <c r="B25" s="132" t="s">
        <v>91</v>
      </c>
      <c r="C25" s="138">
        <f>+Factors!$M$137</f>
        <v>0.42499999999999999</v>
      </c>
      <c r="D25" s="138">
        <f>+Factors!$N$137</f>
        <v>0</v>
      </c>
      <c r="F25" s="418"/>
      <c r="G25" s="418"/>
      <c r="H25" s="419"/>
      <c r="J25" s="120" t="s">
        <v>116</v>
      </c>
      <c r="K25" s="396"/>
      <c r="L25" s="396"/>
      <c r="M25" s="396"/>
      <c r="N25" s="396"/>
      <c r="O25" s="396"/>
      <c r="P25" s="396"/>
      <c r="Q25" s="396"/>
      <c r="S25" s="122" t="s">
        <v>748</v>
      </c>
      <c r="T25" s="425">
        <f>((1.5*$C$4*$C$5)/3.6)*0.5</f>
        <v>7.6325000000000003</v>
      </c>
      <c r="U25" s="125" t="s">
        <v>3</v>
      </c>
      <c r="V25" s="760">
        <f>T25*$U$5/1000</f>
        <v>2.0430028763999997</v>
      </c>
      <c r="W25" s="760"/>
      <c r="X25" s="760"/>
      <c r="Y25" s="760"/>
      <c r="Z25" s="125" t="s">
        <v>764</v>
      </c>
      <c r="AA25" s="426"/>
      <c r="AC25" s="125"/>
      <c r="AD25" s="127" t="str">
        <f t="shared" si="3"/>
        <v>Ferrous Metals</v>
      </c>
      <c r="AE25" s="401">
        <f>+M12*Factors!$D$46/1000*(-1)</f>
        <v>0</v>
      </c>
      <c r="AF25" s="401">
        <f>+N12*Factors!$D$46/1000*(-1)</f>
        <v>0</v>
      </c>
      <c r="AG25" s="401">
        <f>+O12*Factors!$D$46/1000*(-1)</f>
        <v>0</v>
      </c>
      <c r="AH25" s="417">
        <f>+P12*Factors!$D$46/1000*(-1)</f>
        <v>0</v>
      </c>
      <c r="AJ25" s="97"/>
      <c r="AK25" s="97"/>
      <c r="AL25" s="97"/>
      <c r="AM25" s="97"/>
      <c r="AN25" s="97"/>
    </row>
    <row r="26" spans="1:41">
      <c r="B26" s="132" t="s">
        <v>705</v>
      </c>
      <c r="C26" s="138">
        <f>+Factors!$M$144</f>
        <v>2.7E-2</v>
      </c>
      <c r="D26" s="138">
        <f>+Factors!$N$144</f>
        <v>1</v>
      </c>
      <c r="F26" s="418"/>
      <c r="G26" s="418"/>
      <c r="H26" s="419"/>
      <c r="J26" s="125"/>
      <c r="K26" s="125"/>
      <c r="L26" s="409"/>
      <c r="M26" s="121" t="str">
        <f>+Recycling!$E$9</f>
        <v>Status Quo</v>
      </c>
      <c r="N26" s="121" t="str">
        <f>+Recycling!$G$9</f>
        <v>Scenario 1</v>
      </c>
      <c r="O26" s="121" t="str">
        <f>+Recycling!$H$9</f>
        <v>Scenario 2</v>
      </c>
      <c r="P26" s="121" t="str">
        <f>+Recycling!$I$9</f>
        <v>Scenario 3</v>
      </c>
      <c r="Q26" s="125"/>
      <c r="S26" s="122" t="s">
        <v>747</v>
      </c>
      <c r="T26" s="125">
        <f>30*0.5</f>
        <v>15</v>
      </c>
      <c r="U26" s="125" t="s">
        <v>3</v>
      </c>
      <c r="V26" s="760">
        <f>T26*$U$4/1000</f>
        <v>0</v>
      </c>
      <c r="W26" s="760"/>
      <c r="X26" s="760"/>
      <c r="Y26" s="760"/>
      <c r="Z26" s="125" t="s">
        <v>764</v>
      </c>
      <c r="AA26" s="426"/>
      <c r="AC26" s="125"/>
      <c r="AD26" s="127" t="str">
        <f t="shared" si="3"/>
        <v>Aluminium</v>
      </c>
      <c r="AE26" s="401">
        <f>+M13*Factors!$D$47/1000*(-1)</f>
        <v>0</v>
      </c>
      <c r="AF26" s="401">
        <f>+N13*Factors!$D$47/1000*(-1)</f>
        <v>0</v>
      </c>
      <c r="AG26" s="401">
        <f>+O13*Factors!$D$47/1000*(-1)</f>
        <v>0</v>
      </c>
      <c r="AH26" s="417">
        <f>+P13*Factors!$D$47/1000*(-1)</f>
        <v>0</v>
      </c>
      <c r="AJ26" s="97"/>
      <c r="AK26" s="97"/>
      <c r="AL26" s="97"/>
      <c r="AM26" s="97"/>
      <c r="AN26" s="97"/>
    </row>
    <row r="27" spans="1:41">
      <c r="F27" s="418"/>
      <c r="G27" s="418"/>
      <c r="H27" s="419"/>
      <c r="J27" s="121" t="s">
        <v>792</v>
      </c>
      <c r="K27" s="125"/>
      <c r="L27" s="125"/>
      <c r="M27" s="121"/>
      <c r="N27" s="125"/>
      <c r="O27" s="125"/>
      <c r="P27" s="125"/>
      <c r="Q27" s="125"/>
      <c r="S27" s="177" t="s">
        <v>799</v>
      </c>
      <c r="T27" s="125">
        <v>0.4</v>
      </c>
      <c r="U27" s="125" t="s">
        <v>779</v>
      </c>
      <c r="AA27" s="392"/>
      <c r="AC27" s="125"/>
      <c r="AD27" s="121" t="s">
        <v>169</v>
      </c>
      <c r="AE27" s="121" t="s">
        <v>645</v>
      </c>
      <c r="AF27" s="125"/>
      <c r="AG27" s="125"/>
      <c r="AH27" s="392"/>
      <c r="AJ27" s="97"/>
      <c r="AK27" s="97"/>
      <c r="AL27" s="97"/>
      <c r="AM27" s="97"/>
      <c r="AN27" s="97"/>
      <c r="AO27" s="97"/>
    </row>
    <row r="28" spans="1:41">
      <c r="A28" s="121" t="s">
        <v>185</v>
      </c>
      <c r="J28" s="125"/>
      <c r="K28" s="125"/>
      <c r="L28" s="402" t="str">
        <f>+'Treatment &amp; Disposal'!$B$10</f>
        <v>Scattered waste not burned</v>
      </c>
      <c r="M28" s="401">
        <f>+D$95*'Treatment &amp; Disposal'!$E$10</f>
        <v>0</v>
      </c>
      <c r="N28" s="401">
        <f>+E$95*'Treatment &amp; Disposal'!$G$10</f>
        <v>0</v>
      </c>
      <c r="O28" s="401">
        <f>+F$95*'Treatment &amp; Disposal'!$H$10</f>
        <v>0</v>
      </c>
      <c r="P28" s="401">
        <f>+G$95*'Treatment &amp; Disposal'!$I$10</f>
        <v>0</v>
      </c>
      <c r="Q28" s="125"/>
      <c r="S28" s="141" t="s">
        <v>748</v>
      </c>
      <c r="T28" s="427">
        <f>((0.3*$C$4*$C$5)/3.6)</f>
        <v>3.0529999999999999</v>
      </c>
      <c r="U28" s="125" t="s">
        <v>777</v>
      </c>
      <c r="V28" s="766">
        <f>T28*T27*$U$5/1000</f>
        <v>0.32688046022399997</v>
      </c>
      <c r="W28" s="766"/>
      <c r="X28" s="766"/>
      <c r="Y28" s="766"/>
      <c r="Z28" s="125" t="s">
        <v>764</v>
      </c>
      <c r="AA28" s="426"/>
      <c r="AC28" s="125"/>
      <c r="AD28" s="127" t="str">
        <f t="shared" ref="AD28:AD34" si="4">+$L7</f>
        <v>Food waste</v>
      </c>
      <c r="AE28" s="401">
        <f>+AE12+AE20</f>
        <v>0</v>
      </c>
      <c r="AF28" s="401">
        <f>+AF12+AF20</f>
        <v>0</v>
      </c>
      <c r="AG28" s="401">
        <f>+AG12+AG20</f>
        <v>0</v>
      </c>
      <c r="AH28" s="417">
        <f>+AH12+AH20</f>
        <v>0</v>
      </c>
      <c r="AJ28" s="97"/>
      <c r="AK28" s="97"/>
      <c r="AL28" s="97"/>
      <c r="AM28" s="97"/>
      <c r="AN28" s="97"/>
      <c r="AO28" s="97"/>
    </row>
    <row r="29" spans="1:41">
      <c r="B29" s="410"/>
      <c r="C29" s="130" t="s">
        <v>936</v>
      </c>
      <c r="J29" s="125"/>
      <c r="K29" s="125"/>
      <c r="L29" s="402" t="str">
        <f>+'Treatment &amp; Disposal'!$B$11</f>
        <v>Open burning of waste (incl. landfill fires)</v>
      </c>
      <c r="M29" s="401">
        <f>+D$95*'Treatment &amp; Disposal'!$E$11</f>
        <v>0</v>
      </c>
      <c r="N29" s="401">
        <f>+E$95*'Treatment &amp; Disposal'!$G$11</f>
        <v>0</v>
      </c>
      <c r="O29" s="401">
        <f>+F$95*'Treatment &amp; Disposal'!$H$11</f>
        <v>0</v>
      </c>
      <c r="P29" s="401">
        <f>+G$95*'Treatment &amp; Disposal'!$I$11</f>
        <v>0</v>
      </c>
      <c r="Q29" s="125"/>
      <c r="S29" s="141" t="s">
        <v>776</v>
      </c>
      <c r="T29" s="425">
        <f>1*40%*1.4%</f>
        <v>5.5999999999999999E-3</v>
      </c>
      <c r="U29" s="125" t="s">
        <v>778</v>
      </c>
      <c r="V29" s="773">
        <f>+T29*T27*44/28*0.01*1000</f>
        <v>3.5200000000000002E-2</v>
      </c>
      <c r="W29" s="774"/>
      <c r="X29" s="774"/>
      <c r="Y29" s="775"/>
      <c r="Z29" s="125" t="s">
        <v>759</v>
      </c>
      <c r="AA29" s="424"/>
      <c r="AC29" s="125"/>
      <c r="AD29" s="127" t="str">
        <f t="shared" si="4"/>
        <v>Garden and Park waste</v>
      </c>
      <c r="AE29" s="401">
        <f t="shared" ref="AE29:AF34" si="5">+AE13+AE21</f>
        <v>0</v>
      </c>
      <c r="AF29" s="401">
        <f t="shared" si="5"/>
        <v>0</v>
      </c>
      <c r="AG29" s="401">
        <f t="shared" ref="AG29:AH34" si="6">+AG13+AG21</f>
        <v>0</v>
      </c>
      <c r="AH29" s="417">
        <f t="shared" si="6"/>
        <v>0</v>
      </c>
      <c r="AJ29" s="97"/>
      <c r="AK29" s="97"/>
      <c r="AL29" s="97"/>
      <c r="AM29" s="97"/>
      <c r="AN29" s="97"/>
      <c r="AO29" s="97"/>
    </row>
    <row r="30" spans="1:41">
      <c r="B30" s="132" t="s">
        <v>157</v>
      </c>
      <c r="C30" s="130" t="s">
        <v>51</v>
      </c>
      <c r="H30" s="125" t="s">
        <v>28</v>
      </c>
      <c r="J30" s="125"/>
      <c r="K30" s="125"/>
      <c r="L30" s="402" t="str">
        <f>+'Treatment &amp; Disposal'!$B$12</f>
        <v>Wild dumps/unmanaged disposal site</v>
      </c>
      <c r="M30" s="401">
        <f>+D$95*'Treatment &amp; Disposal'!$E$12</f>
        <v>0</v>
      </c>
      <c r="N30" s="401">
        <f>+E$95*'Treatment &amp; Disposal'!$G$12</f>
        <v>0</v>
      </c>
      <c r="O30" s="401">
        <f>+F$95*'Treatment &amp; Disposal'!$H$12</f>
        <v>0</v>
      </c>
      <c r="P30" s="401">
        <f>+G$95*'Treatment &amp; Disposal'!$I$12</f>
        <v>0</v>
      </c>
      <c r="Q30" s="125"/>
      <c r="S30" s="177" t="s">
        <v>193</v>
      </c>
      <c r="V30" s="125" t="s">
        <v>28</v>
      </c>
      <c r="AA30" s="392"/>
      <c r="AC30" s="125"/>
      <c r="AD30" s="127" t="str">
        <f t="shared" si="4"/>
        <v>Paper, cardboard</v>
      </c>
      <c r="AE30" s="401">
        <f t="shared" si="5"/>
        <v>0</v>
      </c>
      <c r="AF30" s="401">
        <f t="shared" si="5"/>
        <v>0</v>
      </c>
      <c r="AG30" s="401">
        <f t="shared" si="6"/>
        <v>0</v>
      </c>
      <c r="AH30" s="417">
        <f t="shared" si="6"/>
        <v>0</v>
      </c>
      <c r="AJ30" s="97"/>
      <c r="AK30" s="97"/>
      <c r="AL30" s="97"/>
      <c r="AM30" s="97"/>
      <c r="AN30" s="97"/>
      <c r="AO30" s="97"/>
    </row>
    <row r="31" spans="1:41">
      <c r="B31" s="132" t="s">
        <v>706</v>
      </c>
      <c r="C31" s="93">
        <v>4</v>
      </c>
      <c r="D31" s="125" t="s">
        <v>73</v>
      </c>
      <c r="J31" s="125"/>
      <c r="K31" s="125"/>
      <c r="L31" s="402" t="str">
        <f>+'Treatment &amp; Disposal'!$B$13</f>
        <v>Controlled dump/landfill without gas collection</v>
      </c>
      <c r="M31" s="401">
        <f>+D$95*'Treatment &amp; Disposal'!$E$13</f>
        <v>0</v>
      </c>
      <c r="N31" s="401">
        <f>+E$95*'Treatment &amp; Disposal'!$G$13</f>
        <v>0</v>
      </c>
      <c r="O31" s="401">
        <f>+F$95*'Treatment &amp; Disposal'!$H$13</f>
        <v>0</v>
      </c>
      <c r="P31" s="401">
        <f>+G$95*'Treatment &amp; Disposal'!$I$13</f>
        <v>0</v>
      </c>
      <c r="Q31" s="125"/>
      <c r="S31" s="125" t="s">
        <v>757</v>
      </c>
      <c r="V31" s="765">
        <f>+Factors!$C$60</f>
        <v>0.8</v>
      </c>
      <c r="W31" s="765"/>
      <c r="X31" s="765"/>
      <c r="Y31" s="765"/>
      <c r="Z31" s="125" t="s">
        <v>756</v>
      </c>
      <c r="AA31" s="424"/>
      <c r="AC31" s="125"/>
      <c r="AD31" s="127" t="str">
        <f t="shared" si="4"/>
        <v>Plastics</v>
      </c>
      <c r="AE31" s="401">
        <f t="shared" si="5"/>
        <v>0</v>
      </c>
      <c r="AF31" s="401">
        <f t="shared" si="5"/>
        <v>0</v>
      </c>
      <c r="AG31" s="401">
        <f t="shared" si="6"/>
        <v>0</v>
      </c>
      <c r="AH31" s="417">
        <f t="shared" si="6"/>
        <v>0</v>
      </c>
      <c r="AJ31" s="97"/>
      <c r="AK31" s="97"/>
      <c r="AL31" s="97"/>
      <c r="AM31" s="97"/>
      <c r="AN31" s="97"/>
      <c r="AO31" s="97"/>
    </row>
    <row r="32" spans="1:41">
      <c r="B32" s="132" t="s">
        <v>707</v>
      </c>
      <c r="C32" s="93">
        <v>2</v>
      </c>
      <c r="D32" s="125" t="s">
        <v>73</v>
      </c>
      <c r="J32" s="125"/>
      <c r="K32" s="125"/>
      <c r="L32" s="402" t="str">
        <f>+'Treatment &amp; Disposal'!$B$14</f>
        <v>Sanitary landfill with gas collection</v>
      </c>
      <c r="M32" s="401">
        <f>+D$95*'Treatment &amp; Disposal'!$E$14</f>
        <v>0</v>
      </c>
      <c r="N32" s="401">
        <f>+E$95*'Treatment &amp; Disposal'!$G$14</f>
        <v>0</v>
      </c>
      <c r="O32" s="401">
        <f>+F$95*'Treatment &amp; Disposal'!$H$14</f>
        <v>0</v>
      </c>
      <c r="P32" s="401">
        <f>+G$95*'Treatment &amp; Disposal'!$I$14</f>
        <v>0</v>
      </c>
      <c r="Q32" s="125"/>
      <c r="S32" s="122" t="s">
        <v>758</v>
      </c>
      <c r="V32" s="766">
        <f>+Factors!$D$60</f>
        <v>0</v>
      </c>
      <c r="W32" s="764"/>
      <c r="X32" s="764"/>
      <c r="Y32" s="764"/>
      <c r="Z32" s="125" t="s">
        <v>759</v>
      </c>
      <c r="AA32" s="424"/>
      <c r="AC32" s="125"/>
      <c r="AD32" s="127" t="str">
        <f t="shared" si="4"/>
        <v>Glass</v>
      </c>
      <c r="AE32" s="401">
        <f t="shared" si="5"/>
        <v>0</v>
      </c>
      <c r="AF32" s="401">
        <f t="shared" si="5"/>
        <v>0</v>
      </c>
      <c r="AG32" s="401">
        <f t="shared" si="6"/>
        <v>0</v>
      </c>
      <c r="AH32" s="417">
        <f t="shared" si="6"/>
        <v>0</v>
      </c>
      <c r="AJ32" s="97"/>
      <c r="AK32" s="97"/>
      <c r="AL32" s="97"/>
      <c r="AM32" s="97"/>
      <c r="AN32" s="97"/>
      <c r="AO32" s="97"/>
    </row>
    <row r="33" spans="1:41">
      <c r="B33" s="132" t="s">
        <v>158</v>
      </c>
      <c r="C33" s="93">
        <v>11.5</v>
      </c>
      <c r="D33" s="125" t="s">
        <v>73</v>
      </c>
      <c r="J33" s="125"/>
      <c r="K33" s="125"/>
      <c r="L33" s="402" t="str">
        <f>+'Treatment &amp; Disposal'!$B$15</f>
        <v>BS + landfill</v>
      </c>
      <c r="M33" s="401">
        <f>+D$95*'Treatment &amp; Disposal'!$E$15</f>
        <v>0</v>
      </c>
      <c r="N33" s="401">
        <f>+E$95*'Treatment &amp; Disposal'!$G$15</f>
        <v>0</v>
      </c>
      <c r="O33" s="401">
        <f>+F$95*'Treatment &amp; Disposal'!$H$15</f>
        <v>0</v>
      </c>
      <c r="P33" s="401">
        <f>+G$95*'Treatment &amp; Disposal'!$I$15</f>
        <v>0</v>
      </c>
      <c r="Q33" s="125"/>
      <c r="S33" s="125" t="s">
        <v>785</v>
      </c>
      <c r="U33" s="428">
        <f>(0.43*0.25+0.35*0.2)</f>
        <v>0.17749999999999999</v>
      </c>
      <c r="V33" s="130">
        <f>+Recycling!$E$38*Recycling!$E$39*(1-$U$33)</f>
        <v>0</v>
      </c>
      <c r="W33" s="130">
        <f>+Recycling!$G$38*Recycling!$G$39*(1-$U$33)</f>
        <v>0</v>
      </c>
      <c r="X33" s="130">
        <f>+Recycling!$H$38*Recycling!$H$39*(1-$U$33)</f>
        <v>0</v>
      </c>
      <c r="Y33" s="130">
        <f>+Recycling!$I$38*Recycling!$I$39*(1-$U$33)</f>
        <v>0</v>
      </c>
      <c r="Z33" s="125" t="s">
        <v>789</v>
      </c>
      <c r="AA33" s="392"/>
      <c r="AC33" s="125"/>
      <c r="AD33" s="127" t="str">
        <f t="shared" si="4"/>
        <v>Ferrous Metals</v>
      </c>
      <c r="AE33" s="401">
        <f t="shared" si="5"/>
        <v>0</v>
      </c>
      <c r="AF33" s="401">
        <f t="shared" si="5"/>
        <v>0</v>
      </c>
      <c r="AG33" s="401">
        <f t="shared" si="6"/>
        <v>0</v>
      </c>
      <c r="AH33" s="417">
        <f t="shared" si="6"/>
        <v>0</v>
      </c>
      <c r="AJ33" s="97"/>
      <c r="AK33" s="97"/>
      <c r="AL33" s="97"/>
      <c r="AM33" s="97"/>
      <c r="AN33" s="97"/>
      <c r="AO33" s="97"/>
    </row>
    <row r="34" spans="1:41">
      <c r="B34" s="132" t="s">
        <v>21</v>
      </c>
      <c r="C34" s="93">
        <v>31.5</v>
      </c>
      <c r="D34" s="125" t="s">
        <v>73</v>
      </c>
      <c r="J34" s="125"/>
      <c r="K34" s="125"/>
      <c r="L34" s="402" t="str">
        <f>+'Treatment &amp; Disposal'!$B$16</f>
        <v>MBT aerobic + further treatment</v>
      </c>
      <c r="M34" s="401">
        <f>+D$95*'Treatment &amp; Disposal'!$E$16</f>
        <v>0</v>
      </c>
      <c r="N34" s="401">
        <f>+E$95*'Treatment &amp; Disposal'!$G$16</f>
        <v>0</v>
      </c>
      <c r="O34" s="401">
        <f>+F$95*'Treatment &amp; Disposal'!$H$16</f>
        <v>0</v>
      </c>
      <c r="P34" s="401">
        <f>+G$95*'Treatment &amp; Disposal'!$I$16</f>
        <v>0</v>
      </c>
      <c r="Q34" s="125"/>
      <c r="S34" s="141" t="s">
        <v>787</v>
      </c>
      <c r="V34" s="130">
        <f>+V33*Recycling!$E$41</f>
        <v>0</v>
      </c>
      <c r="W34" s="130">
        <f>+W33*Recycling!$G$41</f>
        <v>0</v>
      </c>
      <c r="X34" s="130">
        <f>+X33*Recycling!$H$41</f>
        <v>0</v>
      </c>
      <c r="Y34" s="130">
        <f>+Y33*Recycling!$I$41</f>
        <v>0</v>
      </c>
      <c r="Z34" s="125" t="s">
        <v>789</v>
      </c>
      <c r="AA34" s="392"/>
      <c r="AC34" s="125"/>
      <c r="AD34" s="127" t="str">
        <f t="shared" si="4"/>
        <v>Aluminium</v>
      </c>
      <c r="AE34" s="401">
        <f t="shared" si="5"/>
        <v>0</v>
      </c>
      <c r="AF34" s="401">
        <f t="shared" si="5"/>
        <v>0</v>
      </c>
      <c r="AG34" s="401">
        <f t="shared" si="6"/>
        <v>0</v>
      </c>
      <c r="AH34" s="417">
        <f t="shared" si="6"/>
        <v>0</v>
      </c>
      <c r="AJ34" s="97"/>
      <c r="AK34" s="97"/>
      <c r="AL34" s="97"/>
      <c r="AM34" s="97"/>
      <c r="AN34" s="97"/>
      <c r="AO34" s="97"/>
    </row>
    <row r="35" spans="1:41">
      <c r="B35" s="132" t="s">
        <v>22</v>
      </c>
      <c r="C35" s="93">
        <v>0</v>
      </c>
      <c r="D35" s="125" t="s">
        <v>73</v>
      </c>
      <c r="J35" s="125"/>
      <c r="K35" s="125"/>
      <c r="L35" s="402" t="str">
        <f>+'Treatment &amp; Disposal'!$B$17</f>
        <v>MBT anaerobic + further treatment</v>
      </c>
      <c r="M35" s="401">
        <f>+D$95*'Treatment &amp; Disposal'!$E$17</f>
        <v>0</v>
      </c>
      <c r="N35" s="401">
        <f>+E$95*'Treatment &amp; Disposal'!$G$17</f>
        <v>0</v>
      </c>
      <c r="O35" s="401">
        <f>+F$95*'Treatment &amp; Disposal'!$H$17</f>
        <v>0</v>
      </c>
      <c r="P35" s="401">
        <f>+G$95*'Treatment &amp; Disposal'!$I$17</f>
        <v>0</v>
      </c>
      <c r="Q35" s="125"/>
      <c r="S35" s="141" t="s">
        <v>788</v>
      </c>
      <c r="V35" s="130">
        <f>+V33*Recycling!$E$42</f>
        <v>0</v>
      </c>
      <c r="W35" s="130">
        <f>+W33*Recycling!$G$42</f>
        <v>0</v>
      </c>
      <c r="X35" s="130">
        <f>+X33*Recycling!$H$42</f>
        <v>0</v>
      </c>
      <c r="Y35" s="130">
        <f>+Y33*Recycling!$I$42</f>
        <v>0</v>
      </c>
      <c r="Z35" s="125" t="s">
        <v>789</v>
      </c>
      <c r="AA35" s="392"/>
      <c r="AC35" s="125"/>
      <c r="AD35" s="402"/>
      <c r="AE35" s="125"/>
      <c r="AF35" s="125"/>
      <c r="AG35" s="125"/>
      <c r="AH35" s="392"/>
      <c r="AJ35" s="97"/>
      <c r="AK35" s="97"/>
      <c r="AL35" s="97"/>
      <c r="AM35" s="97"/>
      <c r="AN35" s="97"/>
      <c r="AO35" s="97"/>
    </row>
    <row r="36" spans="1:41">
      <c r="B36" s="132" t="s">
        <v>159</v>
      </c>
      <c r="C36" s="93">
        <v>0</v>
      </c>
      <c r="D36" s="125" t="s">
        <v>73</v>
      </c>
      <c r="J36" s="125"/>
      <c r="K36" s="125"/>
      <c r="L36" s="402" t="str">
        <f>+'Treatment &amp; Disposal'!$B$18</f>
        <v>MBS + further treatment</v>
      </c>
      <c r="M36" s="401">
        <f>+D$95*'Treatment &amp; Disposal'!$E$18</f>
        <v>0</v>
      </c>
      <c r="N36" s="401">
        <f>+E$95*'Treatment &amp; Disposal'!$G$18</f>
        <v>0</v>
      </c>
      <c r="O36" s="401">
        <f>+F$95*'Treatment &amp; Disposal'!$H$18</f>
        <v>0</v>
      </c>
      <c r="P36" s="401">
        <f>+G$95*'Treatment &amp; Disposal'!$I$18</f>
        <v>0</v>
      </c>
      <c r="Q36" s="125"/>
      <c r="S36" s="144" t="s">
        <v>972</v>
      </c>
      <c r="T36" s="660">
        <v>0.35</v>
      </c>
      <c r="U36" s="142"/>
      <c r="V36" s="662">
        <f>+V34*$T$36*$E$7*$U$4/1000</f>
        <v>0</v>
      </c>
      <c r="W36" s="662">
        <f>+W34*$T$36*$E$7*$U$4/1000</f>
        <v>0</v>
      </c>
      <c r="X36" s="662">
        <f>+X34*$T$36*$E$7*$U$4/1000</f>
        <v>0</v>
      </c>
      <c r="Y36" s="662">
        <f>+Y34*$T$36*$E$7*$U$4/1000</f>
        <v>0</v>
      </c>
      <c r="Z36" s="144" t="s">
        <v>784</v>
      </c>
      <c r="AA36" s="429"/>
      <c r="AC36" s="125"/>
      <c r="AD36" s="402" t="s">
        <v>168</v>
      </c>
      <c r="AE36" s="401">
        <f>SUM(AE28:AE34)</f>
        <v>0</v>
      </c>
      <c r="AF36" s="401">
        <f>SUM(AF28:AF34)</f>
        <v>0</v>
      </c>
      <c r="AG36" s="401">
        <f t="shared" ref="AG36:AH36" si="7">SUM(AG28:AG34)</f>
        <v>0</v>
      </c>
      <c r="AH36" s="417">
        <f t="shared" si="7"/>
        <v>0</v>
      </c>
      <c r="AJ36" s="97"/>
      <c r="AK36" s="97"/>
      <c r="AL36" s="97"/>
      <c r="AM36" s="97"/>
      <c r="AN36" s="97"/>
      <c r="AO36" s="97"/>
    </row>
    <row r="37" spans="1:41">
      <c r="B37" s="132" t="s">
        <v>160</v>
      </c>
      <c r="C37" s="93">
        <v>14.6</v>
      </c>
      <c r="D37" s="125" t="s">
        <v>73</v>
      </c>
      <c r="J37" s="125"/>
      <c r="K37" s="125"/>
      <c r="L37" s="134" t="str">
        <f>+'Treatment &amp; Disposal'!$B$19</f>
        <v>Incineration</v>
      </c>
      <c r="M37" s="411">
        <f>+D$95*'Treatment &amp; Disposal'!$E$19</f>
        <v>0</v>
      </c>
      <c r="N37" s="411">
        <f>+E$95*'Treatment &amp; Disposal'!$G$19</f>
        <v>0</v>
      </c>
      <c r="O37" s="411">
        <f>+F$95*'Treatment &amp; Disposal'!$H$19</f>
        <v>0</v>
      </c>
      <c r="P37" s="411">
        <f>+G$95*'Treatment &amp; Disposal'!$I$19</f>
        <v>0</v>
      </c>
      <c r="Q37" s="125"/>
      <c r="S37" s="125" t="s">
        <v>782</v>
      </c>
      <c r="T37" s="125">
        <v>0.3</v>
      </c>
      <c r="U37" s="125" t="s">
        <v>783</v>
      </c>
      <c r="V37" s="179">
        <f>IF(Recycling!$E$39="",V35/0.6*$T$37*$U$4/1000,V35/Recycling!$E$39*$T$37*$U$4/1000)</f>
        <v>0</v>
      </c>
      <c r="W37" s="179">
        <f>IF(Recycling!$G$39="",W35/0.6*$T$37*$U$4/1000,W35/Recycling!$G$39*$T$37*$U$4/1000)</f>
        <v>0</v>
      </c>
      <c r="X37" s="179">
        <f>IF(Recycling!$H$39="",X35/0.6*$T$37*$U$4/1000,X35/Recycling!$H$39*$T$37*$U$4/1000)</f>
        <v>0</v>
      </c>
      <c r="Y37" s="179">
        <f>IF(Recycling!$I$39="",Y35/0.6*$T$37*$U$4/1000,Y35/Recycling!$I$39*$T$37*$U$4/1000)</f>
        <v>0</v>
      </c>
      <c r="Z37" s="125" t="s">
        <v>764</v>
      </c>
      <c r="AA37" s="426"/>
      <c r="AC37" s="125"/>
      <c r="AD37" s="402"/>
      <c r="AE37" s="381"/>
      <c r="AF37" s="381"/>
      <c r="AG37" s="381"/>
      <c r="AH37" s="430"/>
      <c r="AJ37" s="97"/>
      <c r="AK37" s="97"/>
      <c r="AL37" s="97"/>
      <c r="AM37" s="97"/>
      <c r="AN37" s="97"/>
      <c r="AO37" s="97"/>
    </row>
    <row r="38" spans="1:41">
      <c r="B38" s="132" t="s">
        <v>91</v>
      </c>
      <c r="C38" s="93">
        <v>15</v>
      </c>
      <c r="D38" s="125" t="s">
        <v>73</v>
      </c>
      <c r="J38" s="125"/>
      <c r="K38" s="125"/>
      <c r="L38" s="127" t="s">
        <v>171</v>
      </c>
      <c r="M38" s="401">
        <f>SUM(M28:M37)</f>
        <v>0</v>
      </c>
      <c r="N38" s="401">
        <f>SUM(N28:N37)</f>
        <v>0</v>
      </c>
      <c r="O38" s="401">
        <f>SUM(O28:O37)</f>
        <v>0</v>
      </c>
      <c r="P38" s="401">
        <f>SUM(P28:P37)</f>
        <v>0</v>
      </c>
      <c r="Q38" s="125"/>
      <c r="S38" s="125" t="s">
        <v>786</v>
      </c>
      <c r="T38" s="431">
        <v>0.05</v>
      </c>
      <c r="V38" s="185">
        <f>+V35*$T$38*$C$6</f>
        <v>0</v>
      </c>
      <c r="W38" s="185">
        <f>+W35*$T$38*$C$6</f>
        <v>0</v>
      </c>
      <c r="X38" s="185">
        <f>+X35*$T$38*$C$6</f>
        <v>0</v>
      </c>
      <c r="Y38" s="185">
        <f>+Y35*$T$38*$C$6</f>
        <v>0</v>
      </c>
      <c r="Z38" s="125" t="s">
        <v>756</v>
      </c>
      <c r="AA38" s="424"/>
      <c r="AC38" s="121" t="s">
        <v>189</v>
      </c>
      <c r="AD38" s="402"/>
      <c r="AE38" s="125"/>
      <c r="AF38" s="125"/>
      <c r="AG38" s="125"/>
      <c r="AH38" s="392"/>
      <c r="AJ38" s="97"/>
      <c r="AK38" s="97"/>
      <c r="AL38" s="97"/>
      <c r="AM38" s="97"/>
      <c r="AN38" s="97"/>
      <c r="AO38" s="97"/>
    </row>
    <row r="39" spans="1:41">
      <c r="B39" s="132" t="s">
        <v>705</v>
      </c>
      <c r="C39" s="93">
        <v>0</v>
      </c>
      <c r="D39" s="125" t="s">
        <v>73</v>
      </c>
      <c r="J39" s="125"/>
      <c r="K39" s="125"/>
      <c r="L39" s="432" t="s">
        <v>172</v>
      </c>
      <c r="M39" s="433">
        <f>+M38+M14</f>
        <v>0</v>
      </c>
      <c r="N39" s="433">
        <f>+N38+N14</f>
        <v>0</v>
      </c>
      <c r="O39" s="433">
        <f>+O38+O14</f>
        <v>0</v>
      </c>
      <c r="P39" s="433">
        <f>+P38+P14</f>
        <v>0</v>
      </c>
      <c r="Q39" s="125"/>
      <c r="S39" s="144" t="s">
        <v>973</v>
      </c>
      <c r="T39" s="143"/>
      <c r="U39" s="142"/>
      <c r="V39" s="662">
        <f>V35*(1-$T$38)*$E$7*$U$6/1000</f>
        <v>0</v>
      </c>
      <c r="W39" s="662">
        <f>W35*(1-$T$38)*$E$7*$U$6/1000</f>
        <v>0</v>
      </c>
      <c r="X39" s="662">
        <f>X35*(1-$T$38)*$E$7*$U$6/1000</f>
        <v>0</v>
      </c>
      <c r="Y39" s="662">
        <f>Y35*(1-$T$38)*$E$7*$U$6/1000</f>
        <v>0</v>
      </c>
      <c r="Z39" s="144" t="s">
        <v>784</v>
      </c>
      <c r="AA39" s="392"/>
      <c r="AC39" s="125"/>
      <c r="AD39" s="402"/>
      <c r="AE39" s="125"/>
      <c r="AF39" s="125"/>
      <c r="AG39" s="125"/>
      <c r="AH39" s="392"/>
      <c r="AJ39" s="97"/>
      <c r="AK39" s="97"/>
      <c r="AL39" s="97"/>
      <c r="AM39" s="97"/>
      <c r="AN39" s="97"/>
      <c r="AO39" s="97"/>
    </row>
    <row r="40" spans="1:41">
      <c r="J40" s="125"/>
      <c r="K40" s="125"/>
      <c r="L40" s="432"/>
      <c r="M40" s="434" t="str">
        <f>IF(M39=$D$44,"correct","wrong")</f>
        <v>correct</v>
      </c>
      <c r="N40" s="434" t="str">
        <f>IF(N39=$D$44,"correct","wrong")</f>
        <v>correct</v>
      </c>
      <c r="O40" s="434" t="str">
        <f>IF(O39=$D$44,"correct","wrong")</f>
        <v>correct</v>
      </c>
      <c r="P40" s="434" t="str">
        <f>IF(P39=$D$44,"correct","wrong")</f>
        <v>correct</v>
      </c>
      <c r="Q40" s="125"/>
      <c r="S40" s="144" t="s">
        <v>975</v>
      </c>
      <c r="T40" s="144"/>
      <c r="U40" s="144"/>
      <c r="V40" s="662">
        <f>($V$31+V38)*$AE$3+$V$29*$AE$5+V37+$V$28</f>
        <v>31.696480460224002</v>
      </c>
      <c r="W40" s="662">
        <f>($V$31+W38)*$AE$3+$V$29*$AE$5+W37+$V$28</f>
        <v>31.696480460224002</v>
      </c>
      <c r="X40" s="662">
        <f>($V$31+X38)*$AE$3+$V$29*$AE$5+X37+$V$28</f>
        <v>31.696480460224002</v>
      </c>
      <c r="Y40" s="662">
        <f>($V$31+Y38)*$AE$3+$V$29*$AE$5+Y37+$V$28</f>
        <v>31.696480460224002</v>
      </c>
      <c r="Z40" s="144" t="s">
        <v>764</v>
      </c>
      <c r="AA40" s="429"/>
      <c r="AC40" s="125"/>
      <c r="AD40" s="121" t="s">
        <v>166</v>
      </c>
      <c r="AE40" s="121" t="s">
        <v>645</v>
      </c>
      <c r="AF40" s="125"/>
      <c r="AG40" s="125"/>
      <c r="AH40" s="392"/>
      <c r="AJ40" s="97"/>
      <c r="AK40" s="97"/>
      <c r="AL40" s="97"/>
      <c r="AM40" s="97"/>
      <c r="AN40" s="97"/>
      <c r="AO40" s="97"/>
    </row>
    <row r="41" spans="1:41">
      <c r="A41" s="121" t="s">
        <v>58</v>
      </c>
      <c r="C41" s="124"/>
      <c r="D41" s="124"/>
      <c r="E41" s="124"/>
      <c r="F41" s="124"/>
      <c r="G41" s="124"/>
      <c r="H41" s="145"/>
      <c r="S41" s="144" t="s">
        <v>974</v>
      </c>
      <c r="T41" s="144"/>
      <c r="U41" s="144"/>
      <c r="V41" s="662">
        <f>V36+V39+$U$17</f>
        <v>96</v>
      </c>
      <c r="W41" s="662">
        <f>W36+W39+$U$17</f>
        <v>96</v>
      </c>
      <c r="X41" s="662">
        <f>X36+X39+$U$17</f>
        <v>96</v>
      </c>
      <c r="Y41" s="662">
        <f>Y36+Y39+$U$17</f>
        <v>96</v>
      </c>
      <c r="Z41" s="144" t="s">
        <v>764</v>
      </c>
      <c r="AA41" s="429"/>
      <c r="AC41" s="125"/>
      <c r="AD41" s="402" t="str">
        <f>+'Treatment &amp; Disposal'!$B$10</f>
        <v>Scattered waste not burned</v>
      </c>
      <c r="AE41" s="401">
        <v>0</v>
      </c>
      <c r="AF41" s="401">
        <v>0</v>
      </c>
      <c r="AG41" s="401">
        <v>0</v>
      </c>
      <c r="AH41" s="417">
        <v>0</v>
      </c>
      <c r="AJ41" s="97"/>
      <c r="AK41" s="97"/>
      <c r="AL41" s="97"/>
      <c r="AM41" s="97"/>
      <c r="AN41" s="97"/>
      <c r="AO41" s="97"/>
    </row>
    <row r="42" spans="1:41">
      <c r="A42" s="121"/>
      <c r="B42" s="124"/>
      <c r="C42" s="124"/>
      <c r="D42" s="124"/>
      <c r="E42" s="124"/>
      <c r="F42" s="124"/>
      <c r="G42" s="124"/>
      <c r="H42" s="145"/>
      <c r="AA42" s="415"/>
      <c r="AC42" s="125"/>
      <c r="AD42" s="402" t="str">
        <f>+'Treatment &amp; Disposal'!$B$11</f>
        <v>Open burning of waste (incl. landfill fires)</v>
      </c>
      <c r="AE42" s="401" t="e">
        <f>+M29*V47/1000</f>
        <v>#DIV/0!</v>
      </c>
      <c r="AF42" s="401" t="e">
        <f>+N29*W47/1000</f>
        <v>#DIV/0!</v>
      </c>
      <c r="AG42" s="401" t="e">
        <f>+O29*X47/1000</f>
        <v>#DIV/0!</v>
      </c>
      <c r="AH42" s="417" t="e">
        <f>+P29*Y47/1000</f>
        <v>#DIV/0!</v>
      </c>
      <c r="AJ42" s="97"/>
      <c r="AK42" s="97"/>
      <c r="AL42" s="97"/>
      <c r="AM42" s="97"/>
      <c r="AN42" s="97"/>
      <c r="AO42" s="97"/>
    </row>
    <row r="43" spans="1:41">
      <c r="A43" s="121"/>
      <c r="B43" s="124"/>
      <c r="C43" s="125" t="s">
        <v>70</v>
      </c>
      <c r="D43" s="145" t="s">
        <v>69</v>
      </c>
      <c r="E43" s="145"/>
      <c r="F43" s="145"/>
      <c r="G43" s="145"/>
      <c r="H43" s="145"/>
      <c r="S43" s="120" t="s">
        <v>116</v>
      </c>
      <c r="T43" s="396"/>
      <c r="U43" s="396"/>
      <c r="V43" s="396"/>
      <c r="W43" s="396"/>
      <c r="X43" s="396"/>
      <c r="Y43" s="396"/>
      <c r="Z43" s="396"/>
      <c r="AA43" s="408"/>
      <c r="AC43" s="125"/>
      <c r="AD43" s="402" t="str">
        <f>+'Treatment &amp; Disposal'!$B$12</f>
        <v>Wild dumps/unmanaged disposal site</v>
      </c>
      <c r="AE43" s="401" t="e">
        <f t="shared" ref="AE43:AH44" si="8">+M30*V61*$AE$3/1000</f>
        <v>#DIV/0!</v>
      </c>
      <c r="AF43" s="401" t="e">
        <f t="shared" si="8"/>
        <v>#DIV/0!</v>
      </c>
      <c r="AG43" s="401" t="e">
        <f t="shared" si="8"/>
        <v>#DIV/0!</v>
      </c>
      <c r="AH43" s="417" t="e">
        <f t="shared" si="8"/>
        <v>#DIV/0!</v>
      </c>
      <c r="AJ43" s="97"/>
      <c r="AK43" s="97"/>
      <c r="AL43" s="97"/>
      <c r="AM43" s="97"/>
      <c r="AN43" s="97"/>
      <c r="AO43" s="97"/>
    </row>
    <row r="44" spans="1:41">
      <c r="A44" s="121"/>
      <c r="B44" s="124" t="s">
        <v>24</v>
      </c>
      <c r="C44" s="124"/>
      <c r="D44" s="119">
        <f>+Start!E17</f>
        <v>0</v>
      </c>
      <c r="E44" s="435"/>
      <c r="F44" s="435"/>
      <c r="G44" s="435"/>
      <c r="H44" s="145"/>
      <c r="V44" s="121" t="str">
        <f>+Recycling!$E$9</f>
        <v>Status Quo</v>
      </c>
      <c r="W44" s="121" t="str">
        <f>+Recycling!$G$9</f>
        <v>Scenario 1</v>
      </c>
      <c r="X44" s="121" t="str">
        <f>+Recycling!$H$9</f>
        <v>Scenario 2</v>
      </c>
      <c r="Y44" s="121" t="str">
        <f>+Recycling!$I$9</f>
        <v>Scenario 3</v>
      </c>
      <c r="AA44" s="392"/>
      <c r="AC44" s="125"/>
      <c r="AD44" s="402" t="str">
        <f>+'Treatment &amp; Disposal'!$B$13</f>
        <v>Controlled dump/landfill without gas collection</v>
      </c>
      <c r="AE44" s="401" t="e">
        <f t="shared" si="8"/>
        <v>#DIV/0!</v>
      </c>
      <c r="AF44" s="401" t="e">
        <f t="shared" si="8"/>
        <v>#DIV/0!</v>
      </c>
      <c r="AG44" s="401" t="e">
        <f t="shared" si="8"/>
        <v>#DIV/0!</v>
      </c>
      <c r="AH44" s="417" t="e">
        <f t="shared" si="8"/>
        <v>#DIV/0!</v>
      </c>
      <c r="AJ44" s="97"/>
      <c r="AK44" s="97"/>
      <c r="AL44" s="97"/>
      <c r="AM44" s="97"/>
      <c r="AN44" s="97"/>
      <c r="AO44" s="97"/>
    </row>
    <row r="45" spans="1:41">
      <c r="A45" s="121"/>
      <c r="B45" s="124" t="s">
        <v>5</v>
      </c>
      <c r="C45" s="124"/>
      <c r="D45" s="124"/>
      <c r="E45" s="124"/>
      <c r="F45" s="124"/>
      <c r="G45" s="124"/>
      <c r="H45" s="145"/>
      <c r="S45" s="121" t="str">
        <f>+'Treatment &amp; Disposal'!$B$11</f>
        <v>Open burning of waste (incl. landfill fires)</v>
      </c>
      <c r="AA45" s="392"/>
      <c r="AC45" s="125"/>
      <c r="AD45" s="402" t="str">
        <f>+'Treatment &amp; Disposal'!$B$14</f>
        <v>Sanitary landfill with gas collection</v>
      </c>
      <c r="AE45" s="401" t="e">
        <f>+M32*(($V$64+$V$65+$V$66+V72)+(V68*$AE$3))/1000</f>
        <v>#DIV/0!</v>
      </c>
      <c r="AF45" s="401" t="e">
        <f>+N32*(($V$64+$V$65+$V$66+W72)+(W68*$AE$3))/1000</f>
        <v>#DIV/0!</v>
      </c>
      <c r="AG45" s="401" t="e">
        <f>+O32*(($V$64+$V$65+$V$66+X72)+(X68*$AE$3))/1000</f>
        <v>#DIV/0!</v>
      </c>
      <c r="AH45" s="417" t="e">
        <f>+P32*(($V$64+$V$65+$V$66+Y72)+(Y68*$AE$3))/1000</f>
        <v>#DIV/0!</v>
      </c>
      <c r="AJ45" s="97"/>
      <c r="AK45" s="97"/>
      <c r="AL45" s="97"/>
      <c r="AM45" s="97"/>
      <c r="AN45" s="97"/>
      <c r="AO45" s="97"/>
    </row>
    <row r="46" spans="1:41">
      <c r="A46" s="121"/>
      <c r="B46" s="146" t="s">
        <v>90</v>
      </c>
      <c r="C46" s="147">
        <f>+Start!$E$37</f>
        <v>0</v>
      </c>
      <c r="D46" s="93">
        <f>+$D$44*C46</f>
        <v>0</v>
      </c>
      <c r="E46" s="124"/>
      <c r="F46" s="124"/>
      <c r="G46" s="124"/>
      <c r="H46" s="145"/>
      <c r="S46" s="125" t="s">
        <v>514</v>
      </c>
      <c r="V46" s="148" t="e">
        <f>+$D$119</f>
        <v>#DIV/0!</v>
      </c>
      <c r="W46" s="148" t="e">
        <f>+$E$119</f>
        <v>#DIV/0!</v>
      </c>
      <c r="X46" s="148" t="e">
        <f>+$F$119</f>
        <v>#DIV/0!</v>
      </c>
      <c r="Y46" s="148" t="e">
        <f>+$G$119</f>
        <v>#DIV/0!</v>
      </c>
      <c r="Z46" s="125" t="s">
        <v>70</v>
      </c>
      <c r="AA46" s="392"/>
      <c r="AC46" s="125"/>
      <c r="AD46" s="423" t="str">
        <f>+'Treatment &amp; Disposal'!$B$15</f>
        <v>BS + landfill</v>
      </c>
      <c r="AE46" s="401" t="e">
        <f>+M33*($V$88+$V$89+V92*$AE$3)/1000</f>
        <v>#DIV/0!</v>
      </c>
      <c r="AF46" s="401" t="e">
        <f>+N33*($V$88+$V$89+W92*$AE$3)/1000</f>
        <v>#DIV/0!</v>
      </c>
      <c r="AG46" s="401" t="e">
        <f>+O33*($V$88+$V$89+X92*$AE$3)/1000</f>
        <v>#DIV/0!</v>
      </c>
      <c r="AH46" s="417" t="e">
        <f>+P33*($V$88+$V$89+Y92*$AE$3)/1000</f>
        <v>#DIV/0!</v>
      </c>
      <c r="AJ46" s="97"/>
      <c r="AK46" s="97"/>
      <c r="AL46" s="97"/>
      <c r="AM46" s="97"/>
      <c r="AN46" s="97"/>
      <c r="AO46" s="97"/>
    </row>
    <row r="47" spans="1:41">
      <c r="A47" s="121"/>
      <c r="B47" s="146" t="s">
        <v>101</v>
      </c>
      <c r="C47" s="147">
        <f>+Start!$E$38</f>
        <v>0</v>
      </c>
      <c r="D47" s="93">
        <f t="shared" ref="D47:D57" si="9">+$D$44*C47</f>
        <v>0</v>
      </c>
      <c r="E47" s="124"/>
      <c r="F47" s="124"/>
      <c r="G47" s="124"/>
      <c r="H47" s="145"/>
      <c r="S47" s="125" t="s">
        <v>79</v>
      </c>
      <c r="V47" s="149" t="e">
        <f>+V46*44/12*1000</f>
        <v>#DIV/0!</v>
      </c>
      <c r="W47" s="149" t="e">
        <f>+W46*44/12*1000</f>
        <v>#DIV/0!</v>
      </c>
      <c r="X47" s="149" t="e">
        <f>+X46*44/12*1000</f>
        <v>#DIV/0!</v>
      </c>
      <c r="Y47" s="149" t="e">
        <f>+Y46*44/12*1000</f>
        <v>#DIV/0!</v>
      </c>
      <c r="Z47" s="125" t="s">
        <v>726</v>
      </c>
      <c r="AA47" s="424"/>
      <c r="AC47" s="125"/>
      <c r="AD47" s="423" t="str">
        <f>+'Treatment &amp; Disposal'!$B$16</f>
        <v>MBT aerobic + further treatment</v>
      </c>
      <c r="AE47" s="401">
        <f>+M34*($V$95*$AE$3+$V$96*$AE$5+$V$97+$V$98+SUM(V99:V102))/1000</f>
        <v>0</v>
      </c>
      <c r="AF47" s="401">
        <f>+N34*($V$95*$AE$3+$V$96*$AE$5+$V$97+$V$98+SUM(W99:W102))/1000</f>
        <v>0</v>
      </c>
      <c r="AG47" s="401">
        <f>+O34*($V$95*$AE$3+$V$96*$AE$5+$V$97+$V$98+SUM(X99:X102))/1000</f>
        <v>0</v>
      </c>
      <c r="AH47" s="417">
        <f>+P34*($V$95*$AE$3+$V$96*$AE$5+$V$97+$V$98+SUM(Y99:Y102))/1000</f>
        <v>0</v>
      </c>
      <c r="AJ47" s="97"/>
      <c r="AK47" s="97"/>
      <c r="AL47" s="97"/>
      <c r="AM47" s="97"/>
      <c r="AN47" s="97"/>
      <c r="AO47" s="97"/>
    </row>
    <row r="48" spans="1:41">
      <c r="A48" s="121"/>
      <c r="B48" s="146" t="s">
        <v>20</v>
      </c>
      <c r="C48" s="147">
        <f>+Start!$E$39</f>
        <v>0</v>
      </c>
      <c r="D48" s="93">
        <f t="shared" si="9"/>
        <v>0</v>
      </c>
      <c r="E48" s="124"/>
      <c r="F48" s="124"/>
      <c r="G48" s="124"/>
      <c r="H48" s="145"/>
      <c r="AA48" s="392"/>
      <c r="AC48" s="125"/>
      <c r="AD48" s="423" t="str">
        <f>+'Treatment &amp; Disposal'!$B$17</f>
        <v>MBT anaerobic + further treatment</v>
      </c>
      <c r="AE48" s="401">
        <f>+M35*(($V$112+V131)*$AE$3+$V$113*$AE$5+$V$114+$V$115+SUM(V116:V119)+V130)/1000</f>
        <v>0</v>
      </c>
      <c r="AF48" s="401">
        <f>+N35*(($V$112+W131)*$AE$3+$V$113*$AE$5+$V$114+$V$115+SUM(W116:W119)+W130)/1000</f>
        <v>0</v>
      </c>
      <c r="AG48" s="401">
        <f>+O35*(($V$112+X131)*$AE$3+$V$113*$AE$5+$V$114+$V$115+SUM(X116:X119)+X130)/1000</f>
        <v>0</v>
      </c>
      <c r="AH48" s="417">
        <f>+P35*(($V$112+Y131)*$AE$3+$V$113*$AE$5+$V$114+$V$115+SUM(Y116:Y119)+Y130)/1000</f>
        <v>0</v>
      </c>
      <c r="AJ48" s="97"/>
      <c r="AK48" s="97"/>
      <c r="AL48" s="97"/>
      <c r="AM48" s="97"/>
      <c r="AN48" s="97"/>
      <c r="AO48" s="97"/>
    </row>
    <row r="49" spans="1:41">
      <c r="A49" s="121"/>
      <c r="B49" s="146" t="s">
        <v>21</v>
      </c>
      <c r="C49" s="147">
        <f>+Start!$E$40</f>
        <v>0</v>
      </c>
      <c r="D49" s="93">
        <f t="shared" si="9"/>
        <v>0</v>
      </c>
      <c r="E49" s="124"/>
      <c r="F49" s="124"/>
      <c r="G49" s="124"/>
      <c r="H49" s="145"/>
      <c r="S49" s="121" t="s">
        <v>714</v>
      </c>
      <c r="U49" s="97"/>
      <c r="V49" s="436" t="str">
        <f>+Recycling!$E$9</f>
        <v>Status Quo</v>
      </c>
      <c r="W49" s="436" t="str">
        <f>+Recycling!$G$9</f>
        <v>Scenario 1</v>
      </c>
      <c r="X49" s="436" t="str">
        <f>+Recycling!$H$9</f>
        <v>Scenario 2</v>
      </c>
      <c r="Y49" s="436" t="str">
        <f>+Recycling!$I$9</f>
        <v>Scenario 3</v>
      </c>
      <c r="AA49" s="392"/>
      <c r="AC49" s="125"/>
      <c r="AD49" s="423" t="str">
        <f>+'Treatment &amp; Disposal'!$B$18</f>
        <v>MBS + further treatment</v>
      </c>
      <c r="AE49" s="401">
        <f>+M36*($V$136*$AE$3+$V$137*$AE$5+$V$138+$V$139+SUM(V140:V143))/1000</f>
        <v>0</v>
      </c>
      <c r="AF49" s="401">
        <f>+N36*($V$136*$AE$3+$V$137*$AE$5+$V$138+$V$139+SUM(W140:W143))/1000</f>
        <v>0</v>
      </c>
      <c r="AG49" s="401">
        <f>+O36*($V$136*$AE$3+$V$137*$AE$5+$V$138+$V$139+SUM(X140:X143))/1000</f>
        <v>0</v>
      </c>
      <c r="AH49" s="417">
        <f>+P36*($V$136*$AE$3+$V$137*$AE$5+$V$138+$V$139+SUM(Y140:Y143))/1000</f>
        <v>0</v>
      </c>
      <c r="AJ49" s="97"/>
      <c r="AK49" s="97"/>
      <c r="AL49" s="97"/>
      <c r="AM49" s="97"/>
      <c r="AN49" s="97"/>
      <c r="AO49" s="97"/>
    </row>
    <row r="50" spans="1:41">
      <c r="A50" s="121"/>
      <c r="B50" s="146" t="s">
        <v>22</v>
      </c>
      <c r="C50" s="147">
        <f>+Start!$E$41</f>
        <v>0</v>
      </c>
      <c r="D50" s="93">
        <f t="shared" si="9"/>
        <v>0</v>
      </c>
      <c r="E50" s="124"/>
      <c r="F50" s="124"/>
      <c r="G50" s="124"/>
      <c r="H50" s="145"/>
      <c r="T50" s="121" t="s">
        <v>793</v>
      </c>
      <c r="U50" s="97"/>
      <c r="Z50" s="97"/>
      <c r="AA50" s="392"/>
      <c r="AC50" s="125"/>
      <c r="AD50" s="423" t="str">
        <f>+L37</f>
        <v>Incineration</v>
      </c>
      <c r="AE50" s="401" t="e">
        <f>+M37*(V78+$V$80+$V$79*$AE$5)/1000</f>
        <v>#DIV/0!</v>
      </c>
      <c r="AF50" s="401" t="e">
        <f>+N37*(W78+$V$80+$V$79*$AE$5)/1000</f>
        <v>#DIV/0!</v>
      </c>
      <c r="AG50" s="401" t="e">
        <f>+O37*(X78+$V$80+$V$79*$AE$5)/1000</f>
        <v>#DIV/0!</v>
      </c>
      <c r="AH50" s="392" t="e">
        <f>+P37*(Y78+$V$80+$V$79*$AE$5)/1000</f>
        <v>#DIV/0!</v>
      </c>
      <c r="AJ50" s="97"/>
      <c r="AK50" s="97"/>
      <c r="AL50" s="97"/>
      <c r="AM50" s="97"/>
      <c r="AN50" s="97"/>
      <c r="AO50" s="97"/>
    </row>
    <row r="51" spans="1:41">
      <c r="A51" s="121"/>
      <c r="B51" s="146" t="s">
        <v>93</v>
      </c>
      <c r="C51" s="147">
        <f>+Start!$E$42</f>
        <v>0</v>
      </c>
      <c r="D51" s="93">
        <f t="shared" si="9"/>
        <v>0</v>
      </c>
      <c r="E51" s="124"/>
      <c r="F51" s="124"/>
      <c r="G51" s="124"/>
      <c r="H51" s="145"/>
      <c r="U51" s="437" t="s">
        <v>251</v>
      </c>
      <c r="V51" s="138" t="e">
        <f>+Calculation!$D$120</f>
        <v>#DIV/0!</v>
      </c>
      <c r="W51" s="138" t="e">
        <f>+Calculation!$E$120</f>
        <v>#DIV/0!</v>
      </c>
      <c r="X51" s="138" t="e">
        <f>+Calculation!$F$120</f>
        <v>#DIV/0!</v>
      </c>
      <c r="Y51" s="138" t="e">
        <f>+Calculation!$G$120</f>
        <v>#DIV/0!</v>
      </c>
      <c r="Z51" s="97"/>
      <c r="AA51" s="392"/>
      <c r="AC51" s="125"/>
      <c r="AD51" s="409" t="s">
        <v>746</v>
      </c>
      <c r="AE51" s="121" t="s">
        <v>645</v>
      </c>
      <c r="AF51" s="125"/>
      <c r="AG51" s="125"/>
      <c r="AH51" s="392"/>
      <c r="AJ51" s="97"/>
      <c r="AK51" s="97"/>
      <c r="AL51" s="97"/>
      <c r="AM51" s="97"/>
      <c r="AN51" s="97"/>
      <c r="AO51" s="97"/>
    </row>
    <row r="52" spans="1:41">
      <c r="A52" s="121"/>
      <c r="B52" s="146" t="s">
        <v>94</v>
      </c>
      <c r="C52" s="147">
        <f>+Start!$E$43</f>
        <v>0</v>
      </c>
      <c r="D52" s="93">
        <f t="shared" si="9"/>
        <v>0</v>
      </c>
      <c r="E52" s="124"/>
      <c r="F52" s="124"/>
      <c r="G52" s="124"/>
      <c r="H52" s="145"/>
      <c r="U52" s="437" t="s">
        <v>191</v>
      </c>
      <c r="V52" s="751">
        <f>+Factors!$C$100</f>
        <v>0.5</v>
      </c>
      <c r="W52" s="752"/>
      <c r="X52" s="752"/>
      <c r="Y52" s="753"/>
      <c r="Z52" s="97" t="s">
        <v>518</v>
      </c>
      <c r="AA52" s="392"/>
      <c r="AC52" s="125"/>
      <c r="AD52" s="402" t="str">
        <f>+AD41</f>
        <v>Scattered waste not burned</v>
      </c>
      <c r="AE52" s="401">
        <v>0</v>
      </c>
      <c r="AF52" s="401">
        <v>0</v>
      </c>
      <c r="AG52" s="401">
        <v>0</v>
      </c>
      <c r="AH52" s="417">
        <v>0</v>
      </c>
      <c r="AJ52" s="97"/>
      <c r="AK52" s="97"/>
      <c r="AL52" s="97"/>
      <c r="AM52" s="97"/>
      <c r="AN52" s="97"/>
      <c r="AO52" s="97"/>
    </row>
    <row r="53" spans="1:41">
      <c r="A53" s="121"/>
      <c r="B53" s="150" t="s">
        <v>55</v>
      </c>
      <c r="C53" s="147">
        <f>+Start!$E$44</f>
        <v>0</v>
      </c>
      <c r="D53" s="93">
        <f t="shared" si="9"/>
        <v>0</v>
      </c>
      <c r="E53" s="124"/>
      <c r="F53" s="124"/>
      <c r="G53" s="124"/>
      <c r="H53" s="145"/>
      <c r="U53" s="437" t="s">
        <v>209</v>
      </c>
      <c r="V53" s="751">
        <f>+Factors!$C$127</f>
        <v>0.5</v>
      </c>
      <c r="W53" s="752"/>
      <c r="X53" s="752"/>
      <c r="Y53" s="753"/>
      <c r="Z53" s="97" t="s">
        <v>518</v>
      </c>
      <c r="AA53" s="392"/>
      <c r="AC53" s="125"/>
      <c r="AD53" s="402" t="str">
        <f t="shared" ref="AD53:AD61" si="10">+AD42</f>
        <v>Open burning of waste (incl. landfill fires)</v>
      </c>
      <c r="AE53" s="401">
        <v>0</v>
      </c>
      <c r="AF53" s="401">
        <v>0</v>
      </c>
      <c r="AG53" s="401">
        <v>0</v>
      </c>
      <c r="AH53" s="417">
        <v>0</v>
      </c>
      <c r="AJ53" s="97"/>
      <c r="AK53" s="97"/>
      <c r="AL53" s="97"/>
      <c r="AM53" s="97"/>
      <c r="AN53" s="97"/>
      <c r="AO53" s="97"/>
    </row>
    <row r="54" spans="1:41">
      <c r="A54" s="121"/>
      <c r="B54" s="150" t="s">
        <v>102</v>
      </c>
      <c r="C54" s="147">
        <f>+Start!$E$45</f>
        <v>0</v>
      </c>
      <c r="D54" s="93">
        <f t="shared" si="9"/>
        <v>0</v>
      </c>
      <c r="E54" s="124"/>
      <c r="F54" s="124"/>
      <c r="G54" s="124"/>
      <c r="H54" s="145"/>
      <c r="T54" s="438" t="s">
        <v>192</v>
      </c>
      <c r="V54" s="93"/>
      <c r="W54" s="93"/>
      <c r="X54" s="93"/>
      <c r="Y54" s="93"/>
      <c r="Z54" s="97"/>
      <c r="AA54" s="392"/>
      <c r="AC54" s="125"/>
      <c r="AD54" s="402" t="str">
        <f t="shared" si="10"/>
        <v>Wild dumps/unmanaged disposal site</v>
      </c>
      <c r="AE54" s="401">
        <v>0</v>
      </c>
      <c r="AF54" s="401">
        <v>0</v>
      </c>
      <c r="AG54" s="401">
        <v>0</v>
      </c>
      <c r="AH54" s="417">
        <v>0</v>
      </c>
      <c r="AJ54" s="97"/>
      <c r="AK54" s="97"/>
      <c r="AL54" s="97"/>
      <c r="AM54" s="97"/>
      <c r="AN54" s="97"/>
      <c r="AO54" s="97"/>
    </row>
    <row r="55" spans="1:41">
      <c r="A55" s="121"/>
      <c r="B55" s="150" t="s">
        <v>92</v>
      </c>
      <c r="C55" s="147">
        <f>+Start!$E$46</f>
        <v>0</v>
      </c>
      <c r="D55" s="93">
        <f t="shared" si="9"/>
        <v>0</v>
      </c>
      <c r="E55" s="124"/>
      <c r="F55" s="124"/>
      <c r="G55" s="124"/>
      <c r="H55" s="145"/>
      <c r="U55" s="437" t="str">
        <f>+'Treatment &amp; Disposal'!$B$32</f>
        <v>Wild dumps/unmanaged disposal site</v>
      </c>
      <c r="V55" s="439">
        <f>+'Treatment &amp; Disposal'!$E$32</f>
        <v>0</v>
      </c>
      <c r="W55" s="439">
        <f>+'Treatment &amp; Disposal'!$G$32</f>
        <v>0</v>
      </c>
      <c r="X55" s="439">
        <f>+'Treatment &amp; Disposal'!$H$32</f>
        <v>0</v>
      </c>
      <c r="Y55" s="439">
        <f>+'Treatment &amp; Disposal'!$I$32</f>
        <v>0</v>
      </c>
      <c r="Z55" s="97"/>
      <c r="AA55" s="392"/>
      <c r="AC55" s="125"/>
      <c r="AD55" s="402" t="str">
        <f t="shared" si="10"/>
        <v>Controlled dump/landfill without gas collection</v>
      </c>
      <c r="AE55" s="401">
        <v>0</v>
      </c>
      <c r="AF55" s="401">
        <v>0</v>
      </c>
      <c r="AG55" s="401">
        <v>0</v>
      </c>
      <c r="AH55" s="417">
        <v>0</v>
      </c>
      <c r="AJ55" s="97"/>
      <c r="AK55" s="97"/>
      <c r="AL55" s="97"/>
      <c r="AM55" s="97"/>
      <c r="AN55" s="97"/>
      <c r="AO55" s="97"/>
    </row>
    <row r="56" spans="1:41">
      <c r="A56" s="121"/>
      <c r="B56" s="150" t="s">
        <v>91</v>
      </c>
      <c r="C56" s="147">
        <f>+Start!E47</f>
        <v>0</v>
      </c>
      <c r="D56" s="93">
        <f t="shared" si="9"/>
        <v>0</v>
      </c>
      <c r="E56" s="124"/>
      <c r="F56" s="124"/>
      <c r="G56" s="124"/>
      <c r="H56" s="145"/>
      <c r="U56" s="437" t="str">
        <f>+'Treatment &amp; Disposal'!$B$33</f>
        <v>Controlled dump/landfill without gas collection</v>
      </c>
      <c r="V56" s="439">
        <f>+'Treatment &amp; Disposal'!$E$33</f>
        <v>0</v>
      </c>
      <c r="W56" s="439">
        <f>+'Treatment &amp; Disposal'!$G$33</f>
        <v>0</v>
      </c>
      <c r="X56" s="439">
        <f>+'Treatment &amp; Disposal'!$H$33</f>
        <v>0</v>
      </c>
      <c r="Y56" s="439">
        <f>+'Treatment &amp; Disposal'!$I$33</f>
        <v>0</v>
      </c>
      <c r="Z56" s="97"/>
      <c r="AA56" s="392"/>
      <c r="AC56" s="125"/>
      <c r="AD56" s="402" t="str">
        <f t="shared" si="10"/>
        <v>Sanitary landfill with gas collection</v>
      </c>
      <c r="AE56" s="401" t="e">
        <f>+M32*(V71+V74)/1000*(-1)</f>
        <v>#DIV/0!</v>
      </c>
      <c r="AF56" s="401" t="e">
        <f>+N32*(W71+W74)/1000*(-1)</f>
        <v>#DIV/0!</v>
      </c>
      <c r="AG56" s="401" t="e">
        <f>+O32*(X71+X74)/1000*(-1)</f>
        <v>#DIV/0!</v>
      </c>
      <c r="AH56" s="417" t="e">
        <f>+P32*(Y71+Y74)/1000*(-1)</f>
        <v>#DIV/0!</v>
      </c>
      <c r="AJ56" s="97"/>
      <c r="AK56" s="97"/>
      <c r="AL56" s="97"/>
      <c r="AM56" s="97"/>
      <c r="AN56" s="97"/>
      <c r="AO56" s="97"/>
    </row>
    <row r="57" spans="1:41">
      <c r="A57" s="121"/>
      <c r="B57" s="151" t="s">
        <v>705</v>
      </c>
      <c r="C57" s="152">
        <f>+Start!$E$48</f>
        <v>0</v>
      </c>
      <c r="D57" s="93">
        <f t="shared" si="9"/>
        <v>0</v>
      </c>
      <c r="E57" s="124"/>
      <c r="F57" s="124"/>
      <c r="G57" s="124"/>
      <c r="H57" s="145"/>
      <c r="U57" s="440" t="str">
        <f>+'Treatment &amp; Disposal'!$B$34</f>
        <v>Sanitary landfill with gas collection</v>
      </c>
      <c r="V57" s="439">
        <f>+'Treatment &amp; Disposal'!$E$34</f>
        <v>0</v>
      </c>
      <c r="W57" s="439">
        <f>+'Treatment &amp; Disposal'!$G$34</f>
        <v>0</v>
      </c>
      <c r="X57" s="439">
        <f>+'Treatment &amp; Disposal'!$H$34</f>
        <v>0</v>
      </c>
      <c r="Y57" s="439">
        <f>+'Treatment &amp; Disposal'!$I$34</f>
        <v>0</v>
      </c>
      <c r="Z57" s="97"/>
      <c r="AA57" s="392"/>
      <c r="AC57" s="125"/>
      <c r="AD57" s="402" t="str">
        <f t="shared" si="10"/>
        <v>BS + landfill</v>
      </c>
      <c r="AE57" s="401">
        <v>0</v>
      </c>
      <c r="AF57" s="401">
        <v>0</v>
      </c>
      <c r="AG57" s="401">
        <v>0</v>
      </c>
      <c r="AH57" s="417">
        <v>0</v>
      </c>
      <c r="AJ57" s="97"/>
      <c r="AK57" s="97"/>
      <c r="AL57" s="97"/>
      <c r="AM57" s="97"/>
      <c r="AN57" s="97"/>
      <c r="AO57" s="97"/>
    </row>
    <row r="58" spans="1:41">
      <c r="A58" s="121"/>
      <c r="B58" s="153" t="s">
        <v>2</v>
      </c>
      <c r="C58" s="154">
        <f>SUM(C46:C57)</f>
        <v>0</v>
      </c>
      <c r="D58" s="155">
        <f>SUM(D46:D57)</f>
        <v>0</v>
      </c>
      <c r="E58" s="124"/>
      <c r="F58" s="124"/>
      <c r="G58" s="124"/>
      <c r="H58" s="145"/>
      <c r="T58" s="93" t="s">
        <v>725</v>
      </c>
      <c r="U58" s="130"/>
      <c r="V58" s="441">
        <f>+'Treatment &amp; Disposal'!$E$40</f>
        <v>0</v>
      </c>
      <c r="W58" s="441">
        <f>+'Treatment &amp; Disposal'!$G$40</f>
        <v>0</v>
      </c>
      <c r="X58" s="441">
        <f>+'Treatment &amp; Disposal'!$H$40</f>
        <v>0</v>
      </c>
      <c r="Y58" s="441">
        <f>+'Treatment &amp; Disposal'!$I$40</f>
        <v>0</v>
      </c>
      <c r="Z58" s="97"/>
      <c r="AA58" s="392"/>
      <c r="AC58" s="125"/>
      <c r="AD58" s="402" t="str">
        <f t="shared" si="10"/>
        <v>MBT aerobic + further treatment</v>
      </c>
      <c r="AE58" s="401">
        <f>+M34*V109/1000*(-1)</f>
        <v>0</v>
      </c>
      <c r="AF58" s="401">
        <f>+N34*W109/1000*(-1)</f>
        <v>0</v>
      </c>
      <c r="AG58" s="401">
        <f>+O34*X109/1000*(-1)</f>
        <v>0</v>
      </c>
      <c r="AH58" s="417">
        <f>+P34*Y109/1000*(-1)</f>
        <v>0</v>
      </c>
      <c r="AJ58" s="97"/>
      <c r="AK58" s="97"/>
      <c r="AL58" s="97"/>
      <c r="AM58" s="97"/>
      <c r="AN58" s="97"/>
      <c r="AO58" s="97"/>
    </row>
    <row r="59" spans="1:41">
      <c r="A59" s="121"/>
      <c r="C59" s="155"/>
      <c r="H59" s="145"/>
      <c r="T59" s="93" t="s">
        <v>791</v>
      </c>
      <c r="U59" s="130"/>
      <c r="V59" s="441">
        <f>+'Treatment &amp; Disposal'!$E$46</f>
        <v>0</v>
      </c>
      <c r="W59" s="441">
        <f>+'Treatment &amp; Disposal'!$G$46</f>
        <v>0</v>
      </c>
      <c r="X59" s="441">
        <f>+'Treatment &amp; Disposal'!$H$46</f>
        <v>0</v>
      </c>
      <c r="Y59" s="441">
        <f>+'Treatment &amp; Disposal'!$I$46</f>
        <v>0</v>
      </c>
      <c r="AA59" s="392"/>
      <c r="AC59" s="125"/>
      <c r="AD59" s="402" t="str">
        <f t="shared" si="10"/>
        <v>MBT anaerobic + further treatment</v>
      </c>
      <c r="AE59" s="401">
        <f>+M35*V133/1000*(-1)</f>
        <v>0</v>
      </c>
      <c r="AF59" s="401">
        <f>+N35*W133/1000*(-1)</f>
        <v>0</v>
      </c>
      <c r="AG59" s="401">
        <f>+O35*X133/1000*(-1)</f>
        <v>0</v>
      </c>
      <c r="AH59" s="417">
        <f>+P35*Y133/1000*(-1)</f>
        <v>0</v>
      </c>
      <c r="AJ59" s="97"/>
      <c r="AK59" s="97"/>
      <c r="AL59" s="97"/>
      <c r="AM59" s="97"/>
      <c r="AN59" s="97"/>
      <c r="AO59" s="97"/>
    </row>
    <row r="60" spans="1:41">
      <c r="A60" s="121"/>
      <c r="B60" s="156" t="s">
        <v>59</v>
      </c>
      <c r="H60" s="145"/>
      <c r="S60" s="177" t="s">
        <v>977</v>
      </c>
      <c r="AA60" s="392"/>
      <c r="AC60" s="125"/>
      <c r="AD60" s="402" t="str">
        <f t="shared" si="10"/>
        <v>MBS + further treatment</v>
      </c>
      <c r="AE60" s="401">
        <f>+M36*V150/1000*(-1)</f>
        <v>0</v>
      </c>
      <c r="AF60" s="401">
        <f>+N36*W150/1000*(-1)</f>
        <v>0</v>
      </c>
      <c r="AG60" s="401">
        <f>+O36*X150/1000*(-1)</f>
        <v>0</v>
      </c>
      <c r="AH60" s="417">
        <f>+P36*Y150/1000*(-1)</f>
        <v>0</v>
      </c>
      <c r="AJ60" s="97"/>
      <c r="AK60" s="97"/>
      <c r="AL60" s="97"/>
      <c r="AM60" s="97"/>
      <c r="AN60" s="97"/>
      <c r="AO60" s="97"/>
    </row>
    <row r="61" spans="1:41">
      <c r="A61" s="121"/>
      <c r="B61" s="127" t="s">
        <v>60</v>
      </c>
      <c r="C61" s="157">
        <f>SUMPRODUCT($C$15:$C$26,$C$46:$C$57)</f>
        <v>0</v>
      </c>
      <c r="D61" s="125" t="s">
        <v>70</v>
      </c>
      <c r="H61" s="145"/>
      <c r="S61" s="125" t="str">
        <f>+'Treatment &amp; Disposal'!$B$12</f>
        <v>Wild dumps/unmanaged disposal site</v>
      </c>
      <c r="V61" s="185" t="e">
        <f>+V51*$V$52*$V$53*V55*16/12*1000</f>
        <v>#DIV/0!</v>
      </c>
      <c r="W61" s="185" t="e">
        <f>+W51*$V$52*$V$53*W55*16/12*1000</f>
        <v>#DIV/0!</v>
      </c>
      <c r="X61" s="185" t="e">
        <f>+X51*$V$52*$V$53*X55*16/12*1000</f>
        <v>#DIV/0!</v>
      </c>
      <c r="Y61" s="185" t="e">
        <f>+Y51*$V$52*$V$53*Y55*16/12*1000</f>
        <v>#DIV/0!</v>
      </c>
      <c r="Z61" s="125" t="s">
        <v>756</v>
      </c>
      <c r="AA61" s="392"/>
      <c r="AC61" s="125"/>
      <c r="AD61" s="402" t="str">
        <f t="shared" si="10"/>
        <v>Incineration</v>
      </c>
      <c r="AE61" s="401" t="e">
        <f>+M37*V85/1000*(-1)</f>
        <v>#DIV/0!</v>
      </c>
      <c r="AF61" s="401" t="e">
        <f>+N37*W85/1000*(-1)</f>
        <v>#DIV/0!</v>
      </c>
      <c r="AG61" s="401" t="e">
        <f>+O37*X85/1000*(-1)</f>
        <v>#DIV/0!</v>
      </c>
      <c r="AH61" s="417" t="e">
        <f>+P37*Y85/1000*(-1)</f>
        <v>#DIV/0!</v>
      </c>
      <c r="AJ61" s="97"/>
      <c r="AK61" s="97"/>
      <c r="AL61" s="97"/>
      <c r="AM61" s="97"/>
      <c r="AN61" s="97"/>
      <c r="AO61" s="97"/>
    </row>
    <row r="62" spans="1:41">
      <c r="A62" s="121"/>
      <c r="B62" s="127" t="s">
        <v>61</v>
      </c>
      <c r="C62" s="157">
        <f>SUMPRODUCT($C$15:$C$26,$D$15:$D$26,$C$46:$C$57)</f>
        <v>0</v>
      </c>
      <c r="D62" s="125" t="s">
        <v>70</v>
      </c>
      <c r="H62" s="145"/>
      <c r="S62" s="125" t="str">
        <f>+'Treatment &amp; Disposal'!$B$13</f>
        <v>Controlled dump/landfill without gas collection</v>
      </c>
      <c r="V62" s="185" t="e">
        <f>+V51*$V$52*$V$53*V56*16/12*1000</f>
        <v>#DIV/0!</v>
      </c>
      <c r="W62" s="185" t="e">
        <f>+W51*$V$52*$V$53*W56*16/12*1000</f>
        <v>#DIV/0!</v>
      </c>
      <c r="X62" s="185" t="e">
        <f>+X51*$V$52*$V$53*X56*16/12*1000</f>
        <v>#DIV/0!</v>
      </c>
      <c r="Y62" s="185" t="e">
        <f>+Y51*$V$52*$V$53*Y56*16/12*1000</f>
        <v>#DIV/0!</v>
      </c>
      <c r="Z62" s="125" t="s">
        <v>756</v>
      </c>
      <c r="AA62" s="392"/>
      <c r="AC62" s="125"/>
      <c r="AD62" s="121" t="s">
        <v>169</v>
      </c>
      <c r="AE62" s="121" t="s">
        <v>645</v>
      </c>
      <c r="AF62" s="125"/>
      <c r="AG62" s="125"/>
      <c r="AH62" s="392"/>
      <c r="AJ62" s="97"/>
      <c r="AK62" s="97"/>
      <c r="AL62" s="97"/>
      <c r="AM62" s="97"/>
      <c r="AN62" s="97"/>
      <c r="AO62" s="97"/>
    </row>
    <row r="63" spans="1:41">
      <c r="A63" s="121"/>
      <c r="B63" s="127" t="s">
        <v>723</v>
      </c>
      <c r="C63" s="158">
        <f>+C61-C62</f>
        <v>0</v>
      </c>
      <c r="D63" s="125" t="s">
        <v>70</v>
      </c>
      <c r="H63" s="145"/>
      <c r="S63" s="177" t="str">
        <f>+'Treatment &amp; Disposal'!$B$14</f>
        <v>Sanitary landfill with gas collection</v>
      </c>
      <c r="V63" s="185" t="e">
        <f>+V51*$V$52*$V$53*V57*16/12*1000</f>
        <v>#DIV/0!</v>
      </c>
      <c r="W63" s="185" t="e">
        <f>+W51*$V$52*$V$53*W57*16/12*1000</f>
        <v>#DIV/0!</v>
      </c>
      <c r="X63" s="185" t="e">
        <f>+X51*$V$52*$V$53*X57*16/12*1000</f>
        <v>#DIV/0!</v>
      </c>
      <c r="Y63" s="185" t="e">
        <f>+Y51*$V$52*$V$53*Y57*16/12*1000</f>
        <v>#DIV/0!</v>
      </c>
      <c r="Z63" s="125" t="s">
        <v>756</v>
      </c>
      <c r="AA63" s="392"/>
      <c r="AC63" s="125"/>
      <c r="AD63" s="402" t="str">
        <f>+AD41</f>
        <v>Scattered waste not burned</v>
      </c>
      <c r="AE63" s="401">
        <f t="shared" ref="AE63:AH70" si="11">+AE41+AE52</f>
        <v>0</v>
      </c>
      <c r="AF63" s="401">
        <f t="shared" si="11"/>
        <v>0</v>
      </c>
      <c r="AG63" s="401">
        <f t="shared" si="11"/>
        <v>0</v>
      </c>
      <c r="AH63" s="417">
        <f t="shared" si="11"/>
        <v>0</v>
      </c>
      <c r="AJ63" s="97"/>
      <c r="AK63" s="97"/>
      <c r="AL63" s="97"/>
      <c r="AM63" s="97"/>
      <c r="AN63" s="97"/>
      <c r="AO63" s="97"/>
    </row>
    <row r="64" spans="1:41">
      <c r="A64" s="121"/>
      <c r="C64" s="155"/>
      <c r="H64" s="145"/>
      <c r="S64" s="122" t="s">
        <v>81</v>
      </c>
      <c r="T64" s="149">
        <f>7.2/3.6</f>
        <v>2</v>
      </c>
      <c r="U64" s="125" t="s">
        <v>3</v>
      </c>
      <c r="V64" s="750">
        <f>+T64*$U$4/1000</f>
        <v>0</v>
      </c>
      <c r="W64" s="750"/>
      <c r="X64" s="750"/>
      <c r="Y64" s="750"/>
      <c r="Z64" s="125" t="s">
        <v>798</v>
      </c>
      <c r="AA64" s="426"/>
      <c r="AC64" s="125"/>
      <c r="AD64" s="402" t="str">
        <f t="shared" ref="AD64:AD72" si="12">+AD42</f>
        <v>Open burning of waste (incl. landfill fires)</v>
      </c>
      <c r="AE64" s="401" t="e">
        <f t="shared" si="11"/>
        <v>#DIV/0!</v>
      </c>
      <c r="AF64" s="401" t="e">
        <f t="shared" si="11"/>
        <v>#DIV/0!</v>
      </c>
      <c r="AG64" s="401" t="e">
        <f t="shared" si="11"/>
        <v>#DIV/0!</v>
      </c>
      <c r="AH64" s="417" t="e">
        <f t="shared" si="11"/>
        <v>#DIV/0!</v>
      </c>
      <c r="AJ64" s="97"/>
      <c r="AK64" s="97"/>
      <c r="AL64" s="97"/>
      <c r="AM64" s="97"/>
      <c r="AN64" s="97"/>
      <c r="AO64" s="97"/>
    </row>
    <row r="65" spans="1:41">
      <c r="B65" s="156" t="s">
        <v>62</v>
      </c>
      <c r="S65" s="122" t="s">
        <v>82</v>
      </c>
      <c r="T65" s="149">
        <f>1.4573/3.6</f>
        <v>0.40480555555555553</v>
      </c>
      <c r="U65" s="125" t="s">
        <v>3</v>
      </c>
      <c r="V65" s="750">
        <f>+T65*$U$7/1000</f>
        <v>0.10566258899444443</v>
      </c>
      <c r="W65" s="750"/>
      <c r="X65" s="750"/>
      <c r="Y65" s="750"/>
      <c r="Z65" s="125" t="s">
        <v>798</v>
      </c>
      <c r="AA65" s="426"/>
      <c r="AC65" s="125"/>
      <c r="AD65" s="402" t="str">
        <f t="shared" si="12"/>
        <v>Wild dumps/unmanaged disposal site</v>
      </c>
      <c r="AE65" s="401" t="e">
        <f>+AE43+AE54</f>
        <v>#DIV/0!</v>
      </c>
      <c r="AF65" s="401" t="e">
        <f t="shared" si="11"/>
        <v>#DIV/0!</v>
      </c>
      <c r="AG65" s="401" t="e">
        <f t="shared" si="11"/>
        <v>#DIV/0!</v>
      </c>
      <c r="AH65" s="417" t="e">
        <f t="shared" si="11"/>
        <v>#DIV/0!</v>
      </c>
      <c r="AJ65" s="97"/>
      <c r="AK65" s="97"/>
      <c r="AL65" s="97"/>
      <c r="AM65" s="97"/>
      <c r="AN65" s="97"/>
      <c r="AO65" s="97"/>
    </row>
    <row r="66" spans="1:41">
      <c r="B66" s="131" t="s">
        <v>161</v>
      </c>
      <c r="C66" s="159">
        <f>+((C46+C47)*$C$31+C48*$C$33+C49*$C$34+C50*$C$35+(C51+C52)*$C$36+(C53+C54+C55)*$C$37+C56*$C$38+C57*$C$39)*Start!$E$57</f>
        <v>0</v>
      </c>
      <c r="D66" s="125" t="s">
        <v>73</v>
      </c>
      <c r="S66" s="137" t="s">
        <v>790</v>
      </c>
      <c r="T66" s="162">
        <f>10.994/3.6/0.3</f>
        <v>10.17962962962963</v>
      </c>
      <c r="U66" s="123" t="s">
        <v>3</v>
      </c>
      <c r="V66" s="750">
        <f>+T66*$U$5/1000</f>
        <v>2.7247969360000002</v>
      </c>
      <c r="W66" s="750"/>
      <c r="X66" s="750"/>
      <c r="Y66" s="750"/>
      <c r="Z66" s="125" t="s">
        <v>798</v>
      </c>
      <c r="AA66" s="426"/>
      <c r="AC66" s="125"/>
      <c r="AD66" s="402" t="str">
        <f t="shared" si="12"/>
        <v>Controlled dump/landfill without gas collection</v>
      </c>
      <c r="AE66" s="401" t="e">
        <f t="shared" si="11"/>
        <v>#DIV/0!</v>
      </c>
      <c r="AF66" s="401" t="e">
        <f t="shared" si="11"/>
        <v>#DIV/0!</v>
      </c>
      <c r="AG66" s="401" t="e">
        <f t="shared" si="11"/>
        <v>#DIV/0!</v>
      </c>
      <c r="AH66" s="417" t="e">
        <f t="shared" si="11"/>
        <v>#DIV/0!</v>
      </c>
      <c r="AJ66" s="97"/>
      <c r="AK66" s="97"/>
      <c r="AL66" s="97"/>
      <c r="AM66" s="97"/>
      <c r="AN66" s="97"/>
      <c r="AO66" s="97"/>
    </row>
    <row r="67" spans="1:41">
      <c r="B67" s="131" t="s">
        <v>162</v>
      </c>
      <c r="C67" s="130">
        <f>+((C46+C47)*$C$32+C48*$C$33+C49*$C$34+C50*$C$35+(C51+C52)*$C$36+(C53+C54+C55)*$C$37+C56*$C$38+C57*$C$39)*Start!$E$58</f>
        <v>0</v>
      </c>
      <c r="D67" s="125" t="s">
        <v>73</v>
      </c>
      <c r="T67" s="125" t="s">
        <v>795</v>
      </c>
      <c r="V67" s="442" t="e">
        <f>+V63*V59</f>
        <v>#DIV/0!</v>
      </c>
      <c r="W67" s="442" t="e">
        <f>+W63*W59</f>
        <v>#DIV/0!</v>
      </c>
      <c r="X67" s="442" t="e">
        <f t="shared" ref="X67:Y67" si="13">+X63*X59</f>
        <v>#DIV/0!</v>
      </c>
      <c r="Y67" s="442" t="e">
        <f t="shared" si="13"/>
        <v>#DIV/0!</v>
      </c>
      <c r="Z67" s="125" t="s">
        <v>756</v>
      </c>
      <c r="AA67" s="392"/>
      <c r="AC67" s="125"/>
      <c r="AD67" s="402" t="str">
        <f t="shared" si="12"/>
        <v>Sanitary landfill with gas collection</v>
      </c>
      <c r="AE67" s="401" t="e">
        <f t="shared" si="11"/>
        <v>#DIV/0!</v>
      </c>
      <c r="AF67" s="401" t="e">
        <f t="shared" si="11"/>
        <v>#DIV/0!</v>
      </c>
      <c r="AG67" s="401" t="e">
        <f t="shared" si="11"/>
        <v>#DIV/0!</v>
      </c>
      <c r="AH67" s="417" t="e">
        <f t="shared" si="11"/>
        <v>#DIV/0!</v>
      </c>
      <c r="AJ67" s="97"/>
      <c r="AK67" s="97"/>
      <c r="AL67" s="97"/>
      <c r="AM67" s="97"/>
      <c r="AN67" s="97"/>
      <c r="AO67" s="97"/>
    </row>
    <row r="68" spans="1:41">
      <c r="T68" s="125" t="s">
        <v>794</v>
      </c>
      <c r="V68" s="442" t="e">
        <f>+V63*(1-V59)*(1-V58)+V67*('Treatment &amp; Disposal'!$E$51+'Treatment &amp; Disposal'!$E$52*(1-'Treatment &amp; Disposal'!$E$58))</f>
        <v>#DIV/0!</v>
      </c>
      <c r="W68" s="442" t="e">
        <f>+W63*(1-W59)*(1-W58)+W67*('Treatment &amp; Disposal'!$G$51+'Treatment &amp; Disposal'!$G$52*(1-'Treatment &amp; Disposal'!$G$58))</f>
        <v>#DIV/0!</v>
      </c>
      <c r="X68" s="442" t="e">
        <f>+X63*(1-X59)*(1-X58)+X67*('Treatment &amp; Disposal'!$H$51+'Treatment &amp; Disposal'!$H$52*(1-'Treatment &amp; Disposal'!$H$58))</f>
        <v>#DIV/0!</v>
      </c>
      <c r="Y68" s="442" t="e">
        <f>+Y63*(1-Y59)*(1-Y58)+Y67*('Treatment &amp; Disposal'!$I$51+'Treatment &amp; Disposal'!$I$52*(1-'Treatment &amp; Disposal'!$I$58))</f>
        <v>#DIV/0!</v>
      </c>
      <c r="Z68" s="125" t="s">
        <v>756</v>
      </c>
      <c r="AA68" s="392"/>
      <c r="AC68" s="125"/>
      <c r="AD68" s="402" t="str">
        <f t="shared" si="12"/>
        <v>BS + landfill</v>
      </c>
      <c r="AE68" s="401" t="e">
        <f t="shared" si="11"/>
        <v>#DIV/0!</v>
      </c>
      <c r="AF68" s="401" t="e">
        <f t="shared" si="11"/>
        <v>#DIV/0!</v>
      </c>
      <c r="AG68" s="401" t="e">
        <f t="shared" si="11"/>
        <v>#DIV/0!</v>
      </c>
      <c r="AH68" s="417" t="e">
        <f t="shared" si="11"/>
        <v>#DIV/0!</v>
      </c>
      <c r="AJ68" s="97"/>
      <c r="AK68" s="97"/>
      <c r="AL68" s="97"/>
      <c r="AM68" s="97"/>
      <c r="AN68" s="97"/>
      <c r="AO68" s="97"/>
    </row>
    <row r="69" spans="1:41">
      <c r="A69" s="121" t="s">
        <v>186</v>
      </c>
      <c r="C69" s="155"/>
      <c r="H69" s="145"/>
      <c r="U69" s="125" t="s">
        <v>796</v>
      </c>
      <c r="V69" s="444" t="e">
        <f>+V63*'Treatment &amp; Disposal'!$E$53</f>
        <v>#DIV/0!</v>
      </c>
      <c r="W69" s="444" t="e">
        <f>+W63*'Treatment &amp; Disposal'!$G$53</f>
        <v>#DIV/0!</v>
      </c>
      <c r="X69" s="444" t="e">
        <f>+X63*'Treatment &amp; Disposal'!$H$53</f>
        <v>#DIV/0!</v>
      </c>
      <c r="Y69" s="444" t="e">
        <f>+Y63*'Treatment &amp; Disposal'!$I$53</f>
        <v>#DIV/0!</v>
      </c>
      <c r="Z69" s="125" t="s">
        <v>756</v>
      </c>
      <c r="AA69" s="392"/>
      <c r="AC69" s="125"/>
      <c r="AD69" s="402" t="str">
        <f t="shared" si="12"/>
        <v>MBT aerobic + further treatment</v>
      </c>
      <c r="AE69" s="401">
        <f t="shared" si="11"/>
        <v>0</v>
      </c>
      <c r="AF69" s="401">
        <f t="shared" si="11"/>
        <v>0</v>
      </c>
      <c r="AG69" s="401">
        <f t="shared" si="11"/>
        <v>0</v>
      </c>
      <c r="AH69" s="417">
        <f t="shared" si="11"/>
        <v>0</v>
      </c>
      <c r="AJ69" s="97"/>
      <c r="AK69" s="97"/>
      <c r="AL69" s="97"/>
      <c r="AM69" s="97"/>
      <c r="AN69" s="97"/>
      <c r="AO69" s="97"/>
    </row>
    <row r="70" spans="1:41">
      <c r="A70" s="121"/>
      <c r="C70" s="155"/>
      <c r="H70" s="145"/>
      <c r="U70" s="125" t="s">
        <v>781</v>
      </c>
      <c r="V70" s="444" t="e">
        <f>+V63*'Treatment &amp; Disposal'!$E$54</f>
        <v>#DIV/0!</v>
      </c>
      <c r="W70" s="444" t="e">
        <f>+W63*'Treatment &amp; Disposal'!$G$54</f>
        <v>#DIV/0!</v>
      </c>
      <c r="X70" s="444" t="e">
        <f>+X63*'Treatment &amp; Disposal'!$H$54</f>
        <v>#DIV/0!</v>
      </c>
      <c r="Y70" s="444" t="e">
        <f>+Y63*'Treatment &amp; Disposal'!$I$54</f>
        <v>#DIV/0!</v>
      </c>
      <c r="Z70" s="125" t="s">
        <v>756</v>
      </c>
      <c r="AA70" s="392"/>
      <c r="AC70" s="125"/>
      <c r="AD70" s="402" t="str">
        <f t="shared" si="12"/>
        <v>MBT anaerobic + further treatment</v>
      </c>
      <c r="AE70" s="401">
        <f t="shared" si="11"/>
        <v>0</v>
      </c>
      <c r="AF70" s="401">
        <f t="shared" si="11"/>
        <v>0</v>
      </c>
      <c r="AG70" s="401">
        <f t="shared" si="11"/>
        <v>0</v>
      </c>
      <c r="AH70" s="417">
        <f t="shared" si="11"/>
        <v>0</v>
      </c>
      <c r="AJ70" s="97"/>
      <c r="AK70" s="97"/>
      <c r="AL70" s="97"/>
      <c r="AM70" s="97"/>
      <c r="AN70" s="97"/>
      <c r="AO70" s="97"/>
    </row>
    <row r="71" spans="1:41">
      <c r="A71" s="121"/>
      <c r="B71" s="160" t="s">
        <v>63</v>
      </c>
      <c r="C71" s="124"/>
      <c r="D71" s="121" t="str">
        <f>+Recycling!$E$9</f>
        <v>Status Quo</v>
      </c>
      <c r="E71" s="121" t="str">
        <f>+Recycling!$G$9</f>
        <v>Scenario 1</v>
      </c>
      <c r="F71" s="121" t="str">
        <f>+Recycling!$H$9</f>
        <v>Scenario 2</v>
      </c>
      <c r="G71" s="121" t="str">
        <f>+Recycling!$I$9</f>
        <v>Scenario 3</v>
      </c>
      <c r="H71" s="145"/>
      <c r="S71" s="661" t="s">
        <v>972</v>
      </c>
      <c r="T71" s="660">
        <f>+$T$36</f>
        <v>0.35</v>
      </c>
      <c r="U71" s="142"/>
      <c r="V71" s="665" t="e">
        <f>+V69*(1/$C$6)*$T$71*$E$7*$U$4/1000</f>
        <v>#DIV/0!</v>
      </c>
      <c r="W71" s="665" t="e">
        <f>+W69*(1/$C$6)*$T$71*$E$7*$U$4/1000</f>
        <v>#DIV/0!</v>
      </c>
      <c r="X71" s="665" t="e">
        <f>+X69*(1/$C$6)*$T$71*$E$7*$U$4/1000</f>
        <v>#DIV/0!</v>
      </c>
      <c r="Y71" s="665" t="e">
        <f>+Y69*(1/$C$6)*$T$71*$E$7*$U$4/1000</f>
        <v>#DIV/0!</v>
      </c>
      <c r="Z71" s="144" t="s">
        <v>784</v>
      </c>
      <c r="AA71" s="429"/>
      <c r="AC71" s="125"/>
      <c r="AD71" s="402" t="str">
        <f t="shared" si="12"/>
        <v>MBS + further treatment</v>
      </c>
      <c r="AE71" s="401">
        <f t="shared" ref="AE71:AH72" si="14">+AE49+AE60</f>
        <v>0</v>
      </c>
      <c r="AF71" s="401">
        <f t="shared" si="14"/>
        <v>0</v>
      </c>
      <c r="AG71" s="401">
        <f t="shared" si="14"/>
        <v>0</v>
      </c>
      <c r="AH71" s="417">
        <f t="shared" si="14"/>
        <v>0</v>
      </c>
      <c r="AJ71" s="97"/>
      <c r="AK71" s="97"/>
      <c r="AL71" s="97"/>
      <c r="AM71" s="97"/>
      <c r="AN71" s="97"/>
      <c r="AO71" s="97"/>
    </row>
    <row r="72" spans="1:41">
      <c r="A72" s="121"/>
      <c r="B72" s="161" t="s">
        <v>90</v>
      </c>
      <c r="C72" s="124"/>
      <c r="D72" s="119">
        <f>+$D$46*Recycling!$E$24</f>
        <v>0</v>
      </c>
      <c r="E72" s="119">
        <f>+$D$46*Recycling!$G$24</f>
        <v>0</v>
      </c>
      <c r="F72" s="119">
        <f>+$D$46*Recycling!$H$24</f>
        <v>0</v>
      </c>
      <c r="G72" s="119">
        <f>+$D$46*Recycling!$I$24</f>
        <v>0</v>
      </c>
      <c r="H72" s="145" t="s">
        <v>34</v>
      </c>
      <c r="S72" s="122" t="s">
        <v>782</v>
      </c>
      <c r="T72" s="125">
        <f>+$T$37</f>
        <v>0.3</v>
      </c>
      <c r="U72" s="125" t="s">
        <v>783</v>
      </c>
      <c r="V72" s="185" t="e">
        <f>+V70*(1/$C$6)/$V$53*$T$72*$U$4/1000</f>
        <v>#DIV/0!</v>
      </c>
      <c r="W72" s="185" t="e">
        <f>+W70*(1/$C$6)/$V$53*$T$72*$U$4/1000</f>
        <v>#DIV/0!</v>
      </c>
      <c r="X72" s="185" t="e">
        <f>+X70*(1/$C$6)/$V$53*$T$72*$U$4/1000</f>
        <v>#DIV/0!</v>
      </c>
      <c r="Y72" s="185" t="e">
        <f>+Y70*(1/$C$6)/$V$53*$T$72*$U$4/1000</f>
        <v>#DIV/0!</v>
      </c>
      <c r="Z72" s="125" t="s">
        <v>764</v>
      </c>
      <c r="AA72" s="426"/>
      <c r="AC72" s="125"/>
      <c r="AD72" s="402" t="str">
        <f t="shared" si="12"/>
        <v>Incineration</v>
      </c>
      <c r="AE72" s="401" t="e">
        <f t="shared" si="14"/>
        <v>#DIV/0!</v>
      </c>
      <c r="AF72" s="401" t="e">
        <f t="shared" si="14"/>
        <v>#DIV/0!</v>
      </c>
      <c r="AG72" s="401" t="e">
        <f t="shared" si="14"/>
        <v>#DIV/0!</v>
      </c>
      <c r="AH72" s="417" t="e">
        <f t="shared" si="14"/>
        <v>#DIV/0!</v>
      </c>
      <c r="AJ72" s="97"/>
      <c r="AK72" s="97"/>
      <c r="AL72" s="97"/>
      <c r="AM72" s="97"/>
      <c r="AN72" s="97"/>
      <c r="AO72" s="97"/>
    </row>
    <row r="73" spans="1:41">
      <c r="A73" s="121"/>
      <c r="B73" s="161" t="s">
        <v>101</v>
      </c>
      <c r="C73" s="124"/>
      <c r="D73" s="119">
        <f>+$D$47*Recycling!$E$25</f>
        <v>0</v>
      </c>
      <c r="E73" s="119">
        <f>+$D$47*Recycling!$G$25</f>
        <v>0</v>
      </c>
      <c r="F73" s="119">
        <f>+$D$47*Recycling!$H$25</f>
        <v>0</v>
      </c>
      <c r="G73" s="119">
        <f>+$D$47*Recycling!$I$25</f>
        <v>0</v>
      </c>
      <c r="H73" s="145" t="s">
        <v>34</v>
      </c>
      <c r="S73" s="122" t="s">
        <v>786</v>
      </c>
      <c r="T73" s="431">
        <f>+$T$38</f>
        <v>0.05</v>
      </c>
      <c r="V73" s="185" t="e">
        <f>+V70*$T$73</f>
        <v>#DIV/0!</v>
      </c>
      <c r="W73" s="185" t="e">
        <f>+W70*$T$73</f>
        <v>#DIV/0!</v>
      </c>
      <c r="X73" s="185" t="e">
        <f>+X70*$T$73</f>
        <v>#DIV/0!</v>
      </c>
      <c r="Y73" s="185" t="e">
        <f>+Y70*$T$73</f>
        <v>#DIV/0!</v>
      </c>
      <c r="Z73" s="125" t="s">
        <v>756</v>
      </c>
      <c r="AA73" s="424"/>
      <c r="AC73" s="125"/>
      <c r="AD73" s="402"/>
      <c r="AE73" s="125"/>
      <c r="AF73" s="125"/>
      <c r="AG73" s="125"/>
      <c r="AH73" s="392"/>
      <c r="AJ73" s="97"/>
      <c r="AK73" s="97"/>
      <c r="AL73" s="97"/>
      <c r="AM73" s="97"/>
      <c r="AN73" s="97"/>
      <c r="AO73" s="97"/>
    </row>
    <row r="74" spans="1:41">
      <c r="A74" s="121"/>
      <c r="B74" s="161" t="s">
        <v>20</v>
      </c>
      <c r="C74" s="124"/>
      <c r="D74" s="119">
        <f>+$D$48*Recycling!$E$14</f>
        <v>0</v>
      </c>
      <c r="E74" s="119">
        <f>+$D$48*Recycling!$G$14</f>
        <v>0</v>
      </c>
      <c r="F74" s="119">
        <f>+$D$48*Recycling!$H$14</f>
        <v>0</v>
      </c>
      <c r="G74" s="119">
        <f>+$D$48*Recycling!$I$14</f>
        <v>0</v>
      </c>
      <c r="H74" s="145" t="s">
        <v>34</v>
      </c>
      <c r="S74" s="661" t="s">
        <v>973</v>
      </c>
      <c r="T74" s="143"/>
      <c r="U74" s="142"/>
      <c r="V74" s="665" t="e">
        <f>V70*(1/$C$6)*(1-$T$73)*$E$7*$U$6/1000</f>
        <v>#DIV/0!</v>
      </c>
      <c r="W74" s="665" t="e">
        <f>W70*(1/$C$6)*(1-$T$73)*$E$7*$U$6/1000</f>
        <v>#DIV/0!</v>
      </c>
      <c r="X74" s="665" t="e">
        <f>X70*(1/$C$6)*(1-$T$73)*$E$7*$U$6/1000</f>
        <v>#DIV/0!</v>
      </c>
      <c r="Y74" s="665" t="e">
        <f>Y70*(1/$C$6)*(1-$T$73)*$E$7*$U$6/1000</f>
        <v>#DIV/0!</v>
      </c>
      <c r="Z74" s="144" t="s">
        <v>784</v>
      </c>
      <c r="AA74" s="392"/>
      <c r="AC74" s="125"/>
      <c r="AD74" s="402" t="s">
        <v>171</v>
      </c>
      <c r="AE74" s="401" t="e">
        <f>SUM(AE63:AE72)</f>
        <v>#DIV/0!</v>
      </c>
      <c r="AF74" s="401" t="e">
        <f>SUM(AF63:AF72)</f>
        <v>#DIV/0!</v>
      </c>
      <c r="AG74" s="401" t="e">
        <f>SUM(AG63:AG72)</f>
        <v>#DIV/0!</v>
      </c>
      <c r="AH74" s="417" t="e">
        <f>SUM(AH63:AH72)</f>
        <v>#DIV/0!</v>
      </c>
      <c r="AJ74" s="97"/>
      <c r="AK74" s="97"/>
      <c r="AL74" s="97"/>
      <c r="AM74" s="97"/>
      <c r="AN74" s="97"/>
      <c r="AO74" s="97"/>
    </row>
    <row r="75" spans="1:41">
      <c r="A75" s="121"/>
      <c r="B75" s="161" t="s">
        <v>21</v>
      </c>
      <c r="C75" s="124"/>
      <c r="D75" s="119">
        <f>+$D$49*Recycling!$E$15</f>
        <v>0</v>
      </c>
      <c r="E75" s="119">
        <f>+$D$49*Recycling!$G$15</f>
        <v>0</v>
      </c>
      <c r="F75" s="119">
        <f>+$D$49*Recycling!$H$15</f>
        <v>0</v>
      </c>
      <c r="G75" s="119">
        <f>+$D$49*Recycling!$I$15</f>
        <v>0</v>
      </c>
      <c r="H75" s="145" t="s">
        <v>34</v>
      </c>
      <c r="P75" s="443"/>
      <c r="W75" s="445"/>
      <c r="AA75" s="392"/>
      <c r="AC75" s="125"/>
      <c r="AD75" s="402"/>
      <c r="AE75" s="381"/>
      <c r="AF75" s="381"/>
      <c r="AG75" s="381"/>
      <c r="AH75" s="430"/>
      <c r="AJ75" s="97"/>
      <c r="AK75" s="97"/>
      <c r="AL75" s="97"/>
      <c r="AM75" s="97"/>
      <c r="AN75" s="97"/>
      <c r="AO75" s="97"/>
    </row>
    <row r="76" spans="1:41">
      <c r="A76" s="121"/>
      <c r="B76" s="161" t="s">
        <v>22</v>
      </c>
      <c r="C76" s="124"/>
      <c r="D76" s="163">
        <f>+$D$50*Recycling!$E$16</f>
        <v>0</v>
      </c>
      <c r="E76" s="163">
        <f>+$D$50*Recycling!$G$16</f>
        <v>0</v>
      </c>
      <c r="F76" s="163">
        <f>+$D$50*Recycling!$H$16</f>
        <v>0</v>
      </c>
      <c r="G76" s="163">
        <f>+$D$50*Recycling!$I$16</f>
        <v>0</v>
      </c>
      <c r="H76" s="145" t="s">
        <v>34</v>
      </c>
      <c r="S76" s="121" t="str">
        <f>+'Treatment &amp; Disposal'!$B$19</f>
        <v>Incineration</v>
      </c>
      <c r="AA76" s="392"/>
      <c r="AC76" s="125"/>
      <c r="AD76" s="402" t="s">
        <v>845</v>
      </c>
      <c r="AE76" s="401" t="e">
        <f>+AE36+AE74</f>
        <v>#DIV/0!</v>
      </c>
      <c r="AF76" s="401" t="e">
        <f>+AF36+AF74</f>
        <v>#DIV/0!</v>
      </c>
      <c r="AG76" s="401" t="e">
        <f>+AG36+AG74</f>
        <v>#DIV/0!</v>
      </c>
      <c r="AH76" s="417" t="e">
        <f>+AH36+AH74</f>
        <v>#DIV/0!</v>
      </c>
      <c r="AJ76" s="97"/>
      <c r="AK76" s="97"/>
      <c r="AL76" s="97"/>
      <c r="AM76" s="97"/>
      <c r="AN76" s="97"/>
      <c r="AO76" s="97"/>
    </row>
    <row r="77" spans="1:41">
      <c r="A77" s="121"/>
      <c r="B77" s="161" t="s">
        <v>93</v>
      </c>
      <c r="C77" s="124"/>
      <c r="D77" s="119">
        <f>+$D$51*Recycling!$E$17</f>
        <v>0</v>
      </c>
      <c r="E77" s="119">
        <f>+$D$51*Recycling!$G$17</f>
        <v>0</v>
      </c>
      <c r="F77" s="119">
        <f>+$D$51*Recycling!$H$17</f>
        <v>0</v>
      </c>
      <c r="G77" s="119">
        <f>+$D$51*Recycling!$I$17</f>
        <v>0</v>
      </c>
      <c r="H77" s="145" t="s">
        <v>34</v>
      </c>
      <c r="S77" s="125" t="s">
        <v>83</v>
      </c>
      <c r="T77" s="421"/>
      <c r="U77" s="427"/>
      <c r="V77" s="157" t="e">
        <f>+$D$119</f>
        <v>#DIV/0!</v>
      </c>
      <c r="W77" s="157" t="e">
        <f>+$E$119</f>
        <v>#DIV/0!</v>
      </c>
      <c r="X77" s="157" t="e">
        <f>+$F$119</f>
        <v>#DIV/0!</v>
      </c>
      <c r="Y77" s="157" t="e">
        <f>+$G$119</f>
        <v>#DIV/0!</v>
      </c>
      <c r="Z77" s="125" t="s">
        <v>70</v>
      </c>
      <c r="AA77" s="392"/>
      <c r="AC77" s="125"/>
      <c r="AD77" s="402"/>
      <c r="AE77" s="125"/>
      <c r="AF77" s="125"/>
      <c r="AG77" s="125"/>
      <c r="AH77" s="392"/>
      <c r="AJ77" s="97"/>
      <c r="AK77" s="97"/>
      <c r="AL77" s="97"/>
      <c r="AM77" s="97"/>
      <c r="AN77" s="97"/>
      <c r="AO77" s="97"/>
    </row>
    <row r="78" spans="1:41">
      <c r="A78" s="121"/>
      <c r="B78" s="161" t="s">
        <v>94</v>
      </c>
      <c r="C78" s="124"/>
      <c r="D78" s="119">
        <f>+$D$52*Recycling!$E$18</f>
        <v>0</v>
      </c>
      <c r="E78" s="119">
        <f>+$D$52*Recycling!$G$18</f>
        <v>0</v>
      </c>
      <c r="F78" s="119">
        <f>+$D$52*Recycling!$H$18</f>
        <v>0</v>
      </c>
      <c r="G78" s="119">
        <f>+$D$52*Recycling!$I$18</f>
        <v>0</v>
      </c>
      <c r="H78" s="145" t="s">
        <v>34</v>
      </c>
      <c r="S78" s="123" t="s">
        <v>84</v>
      </c>
      <c r="T78" s="449"/>
      <c r="U78" s="123"/>
      <c r="V78" s="176" t="e">
        <f>1000*V77*44/12</f>
        <v>#DIV/0!</v>
      </c>
      <c r="W78" s="176" t="e">
        <f>1000*W77*44/12</f>
        <v>#DIV/0!</v>
      </c>
      <c r="X78" s="176" t="e">
        <f>1000*X77*44/12</f>
        <v>#DIV/0!</v>
      </c>
      <c r="Y78" s="176" t="e">
        <f>1000*Y77*44/12</f>
        <v>#DIV/0!</v>
      </c>
      <c r="Z78" s="123" t="s">
        <v>103</v>
      </c>
      <c r="AA78" s="424"/>
      <c r="AC78" s="125"/>
      <c r="AD78" s="402"/>
      <c r="AE78" s="445"/>
      <c r="AF78" s="445"/>
      <c r="AG78" s="445"/>
      <c r="AH78" s="392"/>
      <c r="AJ78" s="97"/>
      <c r="AK78" s="97"/>
      <c r="AL78" s="97"/>
      <c r="AM78" s="97"/>
      <c r="AN78" s="97"/>
      <c r="AO78" s="97"/>
    </row>
    <row r="79" spans="1:41">
      <c r="A79" s="121"/>
      <c r="B79" s="165" t="s">
        <v>23</v>
      </c>
      <c r="C79" s="124"/>
      <c r="D79" s="126">
        <f>SUM(D72:D78)</f>
        <v>0</v>
      </c>
      <c r="E79" s="126">
        <f t="shared" ref="E79:G79" si="15">SUM(E72:E78)</f>
        <v>0</v>
      </c>
      <c r="F79" s="126">
        <f t="shared" si="15"/>
        <v>0</v>
      </c>
      <c r="G79" s="126">
        <f t="shared" si="15"/>
        <v>0</v>
      </c>
      <c r="H79" s="145" t="s">
        <v>34</v>
      </c>
      <c r="S79" s="124" t="s">
        <v>802</v>
      </c>
      <c r="T79" s="124"/>
      <c r="U79" s="124"/>
      <c r="V79" s="751">
        <f>+Factors!$C$88/1000</f>
        <v>0.02</v>
      </c>
      <c r="W79" s="752"/>
      <c r="X79" s="752"/>
      <c r="Y79" s="753"/>
      <c r="Z79" s="125" t="s">
        <v>759</v>
      </c>
      <c r="AA79" s="424"/>
      <c r="AC79" s="125"/>
      <c r="AD79" s="402"/>
      <c r="AE79" s="445"/>
      <c r="AF79" s="445"/>
      <c r="AG79" s="125"/>
      <c r="AH79" s="392"/>
      <c r="AJ79" s="97"/>
      <c r="AK79" s="97"/>
      <c r="AL79" s="97"/>
      <c r="AM79" s="97"/>
      <c r="AN79" s="97"/>
      <c r="AO79" s="97"/>
    </row>
    <row r="80" spans="1:41">
      <c r="A80" s="121"/>
      <c r="B80" s="446" t="s">
        <v>770</v>
      </c>
      <c r="C80" s="447"/>
      <c r="D80" s="448" t="e">
        <f>+D79/$D$58</f>
        <v>#DIV/0!</v>
      </c>
      <c r="E80" s="448" t="e">
        <f t="shared" ref="E80:G80" si="16">+E79/$D$58</f>
        <v>#DIV/0!</v>
      </c>
      <c r="F80" s="448" t="e">
        <f t="shared" si="16"/>
        <v>#DIV/0!</v>
      </c>
      <c r="G80" s="448" t="e">
        <f t="shared" si="16"/>
        <v>#DIV/0!</v>
      </c>
      <c r="S80" s="124" t="s">
        <v>804</v>
      </c>
      <c r="V80" s="761">
        <v>30</v>
      </c>
      <c r="W80" s="762"/>
      <c r="X80" s="762"/>
      <c r="Y80" s="763"/>
      <c r="Z80" s="125" t="s">
        <v>764</v>
      </c>
      <c r="AA80" s="426"/>
      <c r="AC80" s="125"/>
      <c r="AD80" s="402"/>
      <c r="AE80" s="125"/>
      <c r="AF80" s="125"/>
      <c r="AG80" s="125"/>
      <c r="AH80" s="392"/>
      <c r="AJ80" s="97"/>
      <c r="AK80" s="97"/>
      <c r="AL80" s="97"/>
      <c r="AM80" s="97"/>
      <c r="AN80" s="97"/>
      <c r="AO80" s="97"/>
    </row>
    <row r="81" spans="1:41">
      <c r="A81" s="121"/>
      <c r="B81" s="161"/>
      <c r="C81" s="124"/>
      <c r="D81" s="124"/>
      <c r="E81" s="124"/>
      <c r="F81" s="124"/>
      <c r="G81" s="124"/>
      <c r="H81" s="145"/>
      <c r="S81" s="667" t="s">
        <v>509</v>
      </c>
      <c r="AA81" s="392"/>
      <c r="AC81" s="125"/>
      <c r="AD81" s="402"/>
      <c r="AE81" s="125"/>
      <c r="AF81" s="125"/>
      <c r="AG81" s="125"/>
      <c r="AH81" s="392"/>
      <c r="AJ81" s="97"/>
      <c r="AK81" s="97"/>
      <c r="AL81" s="97"/>
      <c r="AM81" s="97"/>
      <c r="AN81" s="97"/>
      <c r="AO81" s="97"/>
    </row>
    <row r="82" spans="1:41">
      <c r="A82" s="121"/>
      <c r="B82" s="156" t="s">
        <v>74</v>
      </c>
      <c r="C82" s="124"/>
      <c r="D82" s="121" t="str">
        <f>+Recycling!$E$9</f>
        <v>Status Quo</v>
      </c>
      <c r="E82" s="121" t="str">
        <f>+Recycling!$G$9</f>
        <v>Scenario 1</v>
      </c>
      <c r="F82" s="121" t="str">
        <f>+Recycling!$H$9</f>
        <v>Scenario 2</v>
      </c>
      <c r="G82" s="121" t="str">
        <f>+Recycling!$I$9</f>
        <v>Scenario 3</v>
      </c>
      <c r="H82" s="145"/>
      <c r="S82" s="124" t="s">
        <v>85</v>
      </c>
      <c r="V82" s="179" t="e">
        <f>+(D123+D124)/3.6*1000</f>
        <v>#DIV/0!</v>
      </c>
      <c r="W82" s="179" t="e">
        <f>+(E123+E124)/3.6*1000</f>
        <v>#DIV/0!</v>
      </c>
      <c r="X82" s="179" t="e">
        <f>+(F123+F124)/3.6*1000</f>
        <v>#DIV/0!</v>
      </c>
      <c r="Y82" s="179" t="e">
        <f>+(G123+G124)/3.6*1000</f>
        <v>#DIV/0!</v>
      </c>
      <c r="Z82" s="125" t="s">
        <v>80</v>
      </c>
      <c r="AA82" s="392"/>
      <c r="AC82" s="125"/>
      <c r="AD82" s="402"/>
      <c r="AE82" s="125"/>
      <c r="AF82" s="125"/>
      <c r="AG82" s="125"/>
      <c r="AH82" s="392"/>
      <c r="AJ82" s="97"/>
      <c r="AK82" s="97"/>
      <c r="AL82" s="97"/>
      <c r="AM82" s="97"/>
      <c r="AN82" s="97"/>
      <c r="AO82" s="97"/>
    </row>
    <row r="83" spans="1:41">
      <c r="A83" s="121"/>
      <c r="B83" s="161" t="s">
        <v>90</v>
      </c>
      <c r="C83" s="124"/>
      <c r="D83" s="119">
        <f>+$D$46-D72</f>
        <v>0</v>
      </c>
      <c r="E83" s="119">
        <f>+$D$46-E72</f>
        <v>0</v>
      </c>
      <c r="F83" s="119">
        <f>+$D$46-F72</f>
        <v>0</v>
      </c>
      <c r="G83" s="119">
        <f>+$D$46-G72</f>
        <v>0</v>
      </c>
      <c r="H83" s="145" t="s">
        <v>34</v>
      </c>
      <c r="S83" s="125" t="s">
        <v>123</v>
      </c>
      <c r="V83" s="185" t="e">
        <f>+V82*'Treatment &amp; Disposal'!$E$66*$U$4/1000</f>
        <v>#DIV/0!</v>
      </c>
      <c r="W83" s="185" t="e">
        <f>+W82*'Treatment &amp; Disposal'!$G$66*$U$4/1000</f>
        <v>#DIV/0!</v>
      </c>
      <c r="X83" s="185" t="e">
        <f>+X82*'Treatment &amp; Disposal'!$H$66*$U$4/1000</f>
        <v>#DIV/0!</v>
      </c>
      <c r="Y83" s="185" t="e">
        <f>+Y82*'Treatment &amp; Disposal'!$I$66*$U$4/1000</f>
        <v>#DIV/0!</v>
      </c>
      <c r="Z83" s="125" t="s">
        <v>78</v>
      </c>
      <c r="AA83" s="392"/>
      <c r="AC83" s="125"/>
      <c r="AD83" s="402"/>
      <c r="AE83" s="125"/>
      <c r="AF83" s="125"/>
      <c r="AG83" s="125"/>
      <c r="AH83" s="392"/>
      <c r="AJ83" s="97"/>
      <c r="AK83" s="97"/>
      <c r="AL83" s="97"/>
      <c r="AM83" s="97"/>
      <c r="AN83" s="97"/>
      <c r="AO83" s="97"/>
    </row>
    <row r="84" spans="1:41">
      <c r="A84" s="121"/>
      <c r="B84" s="161" t="s">
        <v>101</v>
      </c>
      <c r="C84" s="124"/>
      <c r="D84" s="119">
        <f>+$D$47-D73</f>
        <v>0</v>
      </c>
      <c r="E84" s="119">
        <f>+$D$47-E73</f>
        <v>0</v>
      </c>
      <c r="F84" s="119">
        <f>+$D$47-F73</f>
        <v>0</v>
      </c>
      <c r="G84" s="119">
        <f>+$D$47-G73</f>
        <v>0</v>
      </c>
      <c r="H84" s="145"/>
      <c r="S84" s="128" t="s">
        <v>124</v>
      </c>
      <c r="T84" s="128"/>
      <c r="U84" s="128"/>
      <c r="V84" s="185" t="e">
        <f>+V82*'Treatment &amp; Disposal'!$E$67*$U$7/1000</f>
        <v>#DIV/0!</v>
      </c>
      <c r="W84" s="185" t="e">
        <f>+W82*'Treatment &amp; Disposal'!$G$67*$U$7/1000</f>
        <v>#DIV/0!</v>
      </c>
      <c r="X84" s="185" t="e">
        <f>+X82*'Treatment &amp; Disposal'!$H$67*$U$7/1000</f>
        <v>#DIV/0!</v>
      </c>
      <c r="Y84" s="185" t="e">
        <f>+Y82*'Treatment &amp; Disposal'!$I$67*$U$7/1000</f>
        <v>#DIV/0!</v>
      </c>
      <c r="Z84" s="128" t="s">
        <v>798</v>
      </c>
      <c r="AA84" s="392"/>
      <c r="AC84" s="125"/>
      <c r="AD84" s="402"/>
      <c r="AE84" s="125"/>
      <c r="AF84" s="125"/>
      <c r="AG84" s="125"/>
      <c r="AH84" s="392"/>
      <c r="AJ84" s="97"/>
      <c r="AK84" s="97"/>
      <c r="AL84" s="97"/>
      <c r="AM84" s="97"/>
      <c r="AN84" s="97"/>
      <c r="AO84" s="97"/>
    </row>
    <row r="85" spans="1:41">
      <c r="A85" s="121"/>
      <c r="B85" s="161" t="s">
        <v>20</v>
      </c>
      <c r="C85" s="124"/>
      <c r="D85" s="119">
        <f>+$D$48-D74</f>
        <v>0</v>
      </c>
      <c r="E85" s="119">
        <f>+$D$48-E74</f>
        <v>0</v>
      </c>
      <c r="F85" s="119">
        <f>+$D$48-F74</f>
        <v>0</v>
      </c>
      <c r="G85" s="119">
        <f>+$D$48-G74</f>
        <v>0</v>
      </c>
      <c r="H85" s="145" t="s">
        <v>34</v>
      </c>
      <c r="S85" s="666" t="s">
        <v>823</v>
      </c>
      <c r="T85" s="142"/>
      <c r="U85" s="142"/>
      <c r="V85" s="665" t="e">
        <f>+V83+V84</f>
        <v>#DIV/0!</v>
      </c>
      <c r="W85" s="665" t="e">
        <f>+W83+W84</f>
        <v>#DIV/0!</v>
      </c>
      <c r="X85" s="665" t="e">
        <f>+X83+X84</f>
        <v>#DIV/0!</v>
      </c>
      <c r="Y85" s="665" t="e">
        <f>+Y83+Y84</f>
        <v>#DIV/0!</v>
      </c>
      <c r="Z85" s="666" t="s">
        <v>798</v>
      </c>
      <c r="AA85" s="392"/>
      <c r="AC85" s="125"/>
      <c r="AD85" s="402"/>
      <c r="AE85" s="125"/>
      <c r="AF85" s="125"/>
      <c r="AG85" s="125"/>
      <c r="AH85" s="392"/>
      <c r="AJ85" s="97"/>
      <c r="AK85" s="97"/>
      <c r="AL85" s="97"/>
      <c r="AM85" s="97"/>
      <c r="AN85" s="97"/>
      <c r="AO85" s="97"/>
    </row>
    <row r="86" spans="1:41">
      <c r="A86" s="121"/>
      <c r="B86" s="161" t="s">
        <v>21</v>
      </c>
      <c r="C86" s="124"/>
      <c r="D86" s="119">
        <f>+$D$49-D75</f>
        <v>0</v>
      </c>
      <c r="E86" s="119">
        <f>+$D$49-E75</f>
        <v>0</v>
      </c>
      <c r="F86" s="119">
        <f>+$D$49-F75</f>
        <v>0</v>
      </c>
      <c r="G86" s="119">
        <f>+$D$49-G75</f>
        <v>0</v>
      </c>
      <c r="H86" s="145" t="s">
        <v>34</v>
      </c>
      <c r="AA86" s="392"/>
      <c r="AC86" s="125"/>
      <c r="AD86" s="402"/>
      <c r="AE86" s="125"/>
      <c r="AF86" s="125"/>
      <c r="AG86" s="125"/>
      <c r="AH86" s="392"/>
      <c r="AJ86" s="97"/>
      <c r="AK86" s="97"/>
      <c r="AL86" s="97"/>
      <c r="AM86" s="97"/>
      <c r="AN86" s="97"/>
      <c r="AO86" s="97"/>
    </row>
    <row r="87" spans="1:41">
      <c r="A87" s="121"/>
      <c r="B87" s="161" t="s">
        <v>22</v>
      </c>
      <c r="C87" s="124"/>
      <c r="D87" s="119">
        <f>+$D$50-D76</f>
        <v>0</v>
      </c>
      <c r="E87" s="119">
        <f>+$D$50-E76</f>
        <v>0</v>
      </c>
      <c r="F87" s="119">
        <f>+$D$50-F76</f>
        <v>0</v>
      </c>
      <c r="G87" s="119">
        <f>+$D$50-G76</f>
        <v>0</v>
      </c>
      <c r="H87" s="145" t="s">
        <v>34</v>
      </c>
      <c r="S87" s="121" t="str">
        <f>+'Treatment &amp; Disposal'!$B$15</f>
        <v>BS + landfill</v>
      </c>
      <c r="AA87" s="392"/>
      <c r="AC87" s="125"/>
      <c r="AD87" s="402"/>
      <c r="AE87" s="125"/>
      <c r="AF87" s="125"/>
      <c r="AG87" s="125"/>
      <c r="AH87" s="392"/>
      <c r="AJ87" s="97"/>
      <c r="AK87" s="97"/>
      <c r="AL87" s="97"/>
      <c r="AM87" s="97"/>
      <c r="AN87" s="97"/>
      <c r="AO87" s="97"/>
    </row>
    <row r="88" spans="1:41">
      <c r="A88" s="121"/>
      <c r="B88" s="161" t="s">
        <v>93</v>
      </c>
      <c r="C88" s="124"/>
      <c r="D88" s="119">
        <f>+$D$51-D77</f>
        <v>0</v>
      </c>
      <c r="E88" s="119">
        <f>+$D$51-E77</f>
        <v>0</v>
      </c>
      <c r="F88" s="119">
        <f>+$D$51-F77</f>
        <v>0</v>
      </c>
      <c r="G88" s="119">
        <f>+$D$51-G77</f>
        <v>0</v>
      </c>
      <c r="H88" s="145" t="s">
        <v>34</v>
      </c>
      <c r="S88" s="122" t="s">
        <v>748</v>
      </c>
      <c r="T88" s="427">
        <f>((1.5*$C$4*$C$5)/3.6)</f>
        <v>15.265000000000001</v>
      </c>
      <c r="U88" s="123" t="s">
        <v>3</v>
      </c>
      <c r="V88" s="750">
        <f>+T88*$U$5/1000</f>
        <v>4.0860057527999993</v>
      </c>
      <c r="W88" s="764"/>
      <c r="X88" s="764"/>
      <c r="Y88" s="764"/>
      <c r="Z88" s="125" t="s">
        <v>798</v>
      </c>
      <c r="AA88" s="426"/>
      <c r="AC88" s="125"/>
      <c r="AD88" s="402"/>
      <c r="AE88" s="125"/>
      <c r="AF88" s="125"/>
      <c r="AG88" s="125"/>
      <c r="AH88" s="392"/>
      <c r="AJ88" s="97"/>
      <c r="AK88" s="97"/>
      <c r="AL88" s="97"/>
      <c r="AM88" s="97"/>
      <c r="AN88" s="97"/>
      <c r="AO88" s="97"/>
    </row>
    <row r="89" spans="1:41">
      <c r="A89" s="121"/>
      <c r="B89" s="161" t="s">
        <v>94</v>
      </c>
      <c r="C89" s="124"/>
      <c r="D89" s="119">
        <f>+$D$52-D78</f>
        <v>0</v>
      </c>
      <c r="E89" s="119">
        <f>+$D$52-E78</f>
        <v>0</v>
      </c>
      <c r="F89" s="119">
        <f>+$D$52-F78</f>
        <v>0</v>
      </c>
      <c r="G89" s="119">
        <f>+$D$52-G78</f>
        <v>0</v>
      </c>
      <c r="H89" s="145" t="s">
        <v>34</v>
      </c>
      <c r="S89" s="125" t="s">
        <v>81</v>
      </c>
      <c r="T89" s="149">
        <f>+T64</f>
        <v>2</v>
      </c>
      <c r="U89" s="125" t="s">
        <v>3</v>
      </c>
      <c r="V89" s="750">
        <f>+T89*$U$4/1000</f>
        <v>0</v>
      </c>
      <c r="W89" s="764"/>
      <c r="X89" s="764"/>
      <c r="Y89" s="764"/>
      <c r="Z89" s="125" t="s">
        <v>798</v>
      </c>
      <c r="AA89" s="426"/>
      <c r="AC89" s="125"/>
      <c r="AD89" s="402"/>
      <c r="AE89" s="125"/>
      <c r="AF89" s="125"/>
      <c r="AG89" s="125"/>
      <c r="AH89" s="392"/>
      <c r="AJ89" s="97"/>
      <c r="AK89" s="97"/>
      <c r="AL89" s="97"/>
      <c r="AM89" s="97"/>
      <c r="AN89" s="97"/>
      <c r="AO89" s="97"/>
    </row>
    <row r="90" spans="1:41">
      <c r="A90" s="121"/>
      <c r="B90" s="166" t="s">
        <v>55</v>
      </c>
      <c r="C90" s="124"/>
      <c r="D90" s="93">
        <f>+$D$53</f>
        <v>0</v>
      </c>
      <c r="E90" s="93">
        <f>+$D$53</f>
        <v>0</v>
      </c>
      <c r="F90" s="93">
        <f>+$D$53</f>
        <v>0</v>
      </c>
      <c r="G90" s="93">
        <f>+$D$53</f>
        <v>0</v>
      </c>
      <c r="H90" s="145" t="s">
        <v>34</v>
      </c>
      <c r="S90" s="125" t="s">
        <v>825</v>
      </c>
      <c r="T90" s="451"/>
      <c r="U90" s="123"/>
      <c r="V90" s="180" t="e">
        <f>+V51*0.7</f>
        <v>#DIV/0!</v>
      </c>
      <c r="W90" s="180" t="e">
        <f>+W51*0.7</f>
        <v>#DIV/0!</v>
      </c>
      <c r="X90" s="180" t="e">
        <f>+X51*0.7</f>
        <v>#DIV/0!</v>
      </c>
      <c r="Y90" s="180" t="e">
        <f>+Y51*0.7</f>
        <v>#DIV/0!</v>
      </c>
      <c r="Z90" s="125" t="s">
        <v>70</v>
      </c>
      <c r="AA90" s="392"/>
      <c r="AC90" s="125"/>
      <c r="AD90" s="402"/>
      <c r="AE90" s="125"/>
      <c r="AF90" s="125"/>
      <c r="AG90" s="125"/>
      <c r="AH90" s="392"/>
      <c r="AJ90" s="97"/>
      <c r="AK90" s="97"/>
      <c r="AL90" s="97"/>
      <c r="AM90" s="97"/>
      <c r="AN90" s="97"/>
      <c r="AO90" s="97"/>
    </row>
    <row r="91" spans="1:41">
      <c r="A91" s="121"/>
      <c r="B91" s="166" t="s">
        <v>102</v>
      </c>
      <c r="C91" s="124"/>
      <c r="D91" s="93">
        <f>+$D$54</f>
        <v>0</v>
      </c>
      <c r="E91" s="93">
        <f>+$D$54</f>
        <v>0</v>
      </c>
      <c r="F91" s="93">
        <f>+$D$54</f>
        <v>0</v>
      </c>
      <c r="G91" s="93">
        <f>+$D$54</f>
        <v>0</v>
      </c>
      <c r="H91" s="145" t="s">
        <v>34</v>
      </c>
      <c r="S91" s="125" t="s">
        <v>824</v>
      </c>
      <c r="V91" s="769">
        <v>0.3</v>
      </c>
      <c r="W91" s="768"/>
      <c r="X91" s="768"/>
      <c r="Y91" s="768"/>
      <c r="Z91" s="125" t="s">
        <v>104</v>
      </c>
      <c r="AA91" s="392"/>
      <c r="AC91" s="125"/>
      <c r="AD91" s="402"/>
      <c r="AE91" s="125"/>
      <c r="AF91" s="125"/>
      <c r="AG91" s="125"/>
      <c r="AH91" s="392"/>
      <c r="AJ91" s="97"/>
      <c r="AK91" s="97"/>
      <c r="AL91" s="97"/>
      <c r="AM91" s="97"/>
      <c r="AN91" s="97"/>
      <c r="AO91" s="97"/>
    </row>
    <row r="92" spans="1:41">
      <c r="A92" s="121"/>
      <c r="B92" s="166" t="s">
        <v>92</v>
      </c>
      <c r="C92" s="124"/>
      <c r="D92" s="93">
        <f>+$D$55</f>
        <v>0</v>
      </c>
      <c r="E92" s="93">
        <f>+$D$55</f>
        <v>0</v>
      </c>
      <c r="F92" s="93">
        <f>+$D$55</f>
        <v>0</v>
      </c>
      <c r="G92" s="93">
        <f>+$D$55</f>
        <v>0</v>
      </c>
      <c r="H92" s="145" t="s">
        <v>34</v>
      </c>
      <c r="S92" s="125" t="s">
        <v>826</v>
      </c>
      <c r="V92" s="179" t="e">
        <f>+V90*$V$91*$V$53*1*16/12*1000</f>
        <v>#DIV/0!</v>
      </c>
      <c r="W92" s="179" t="e">
        <f>+W90*$V$91*$V$53*1*16/12*1000</f>
        <v>#DIV/0!</v>
      </c>
      <c r="X92" s="179" t="e">
        <f>+X90*$V$91*$V$53*1*16/12*1000</f>
        <v>#DIV/0!</v>
      </c>
      <c r="Y92" s="179" t="e">
        <f>+Y90*$V$91*$V$53*1*16/12*1000</f>
        <v>#DIV/0!</v>
      </c>
      <c r="Z92" s="125" t="s">
        <v>756</v>
      </c>
      <c r="AA92" s="424"/>
      <c r="AC92" s="125"/>
      <c r="AD92" s="402"/>
      <c r="AE92" s="125"/>
      <c r="AF92" s="125"/>
      <c r="AG92" s="125"/>
      <c r="AH92" s="392"/>
      <c r="AJ92" s="97"/>
      <c r="AK92" s="97"/>
      <c r="AL92" s="97"/>
      <c r="AM92" s="97"/>
      <c r="AN92" s="97"/>
      <c r="AO92" s="97"/>
    </row>
    <row r="93" spans="1:41">
      <c r="A93" s="121"/>
      <c r="B93" s="166" t="s">
        <v>91</v>
      </c>
      <c r="C93" s="124"/>
      <c r="D93" s="93">
        <f>+$D$56</f>
        <v>0</v>
      </c>
      <c r="E93" s="93">
        <f>+$D$56</f>
        <v>0</v>
      </c>
      <c r="F93" s="93">
        <f>+$D$56</f>
        <v>0</v>
      </c>
      <c r="G93" s="93">
        <f>+$D$56</f>
        <v>0</v>
      </c>
      <c r="H93" s="145" t="s">
        <v>34</v>
      </c>
      <c r="V93" s="445"/>
      <c r="AA93" s="392"/>
      <c r="AC93" s="125"/>
      <c r="AD93" s="402"/>
      <c r="AE93" s="125"/>
      <c r="AF93" s="125"/>
      <c r="AG93" s="125"/>
      <c r="AH93" s="392"/>
      <c r="AJ93" s="97"/>
      <c r="AK93" s="97"/>
      <c r="AL93" s="97"/>
      <c r="AM93" s="97"/>
      <c r="AN93" s="97"/>
      <c r="AO93" s="97"/>
    </row>
    <row r="94" spans="1:41">
      <c r="A94" s="121"/>
      <c r="B94" s="167" t="s">
        <v>705</v>
      </c>
      <c r="C94" s="450"/>
      <c r="D94" s="93">
        <f>+$D$57</f>
        <v>0</v>
      </c>
      <c r="E94" s="93">
        <f>+$D$57</f>
        <v>0</v>
      </c>
      <c r="F94" s="93">
        <f>+$D$57</f>
        <v>0</v>
      </c>
      <c r="G94" s="93">
        <f>+$D$57</f>
        <v>0</v>
      </c>
      <c r="H94" s="168" t="s">
        <v>34</v>
      </c>
      <c r="S94" s="121" t="str">
        <f>+'Treatment &amp; Disposal'!$B$16</f>
        <v>MBT aerobic + further treatment</v>
      </c>
      <c r="V94" s="445"/>
      <c r="AA94" s="392"/>
      <c r="AC94" s="125"/>
      <c r="AD94" s="402"/>
      <c r="AE94" s="125"/>
      <c r="AF94" s="125"/>
      <c r="AG94" s="125"/>
      <c r="AH94" s="392"/>
      <c r="AJ94" s="97"/>
      <c r="AK94" s="97"/>
      <c r="AL94" s="97"/>
      <c r="AM94" s="97"/>
      <c r="AN94" s="97"/>
      <c r="AO94" s="97"/>
    </row>
    <row r="95" spans="1:41">
      <c r="A95" s="121"/>
      <c r="B95" s="165" t="s">
        <v>23</v>
      </c>
      <c r="C95" s="124"/>
      <c r="D95" s="169">
        <f>+$D$44-D79</f>
        <v>0</v>
      </c>
      <c r="E95" s="169">
        <f>+$D$44-E79</f>
        <v>0</v>
      </c>
      <c r="F95" s="169">
        <f>+$D$44-F79</f>
        <v>0</v>
      </c>
      <c r="G95" s="169">
        <f>+$D$44-G79</f>
        <v>0</v>
      </c>
      <c r="H95" s="145" t="s">
        <v>34</v>
      </c>
      <c r="S95" s="125" t="s">
        <v>938</v>
      </c>
      <c r="V95" s="765">
        <f>+Factors!$C$70</f>
        <v>4</v>
      </c>
      <c r="W95" s="765"/>
      <c r="X95" s="765"/>
      <c r="Y95" s="765"/>
      <c r="Z95" s="125" t="s">
        <v>756</v>
      </c>
      <c r="AA95" s="424"/>
      <c r="AC95" s="125"/>
      <c r="AD95" s="402"/>
      <c r="AE95" s="125"/>
      <c r="AF95" s="125"/>
      <c r="AG95" s="125"/>
      <c r="AH95" s="392"/>
      <c r="AJ95" s="97"/>
      <c r="AK95" s="97"/>
      <c r="AL95" s="97"/>
      <c r="AM95" s="97"/>
      <c r="AN95" s="97"/>
      <c r="AO95" s="97"/>
    </row>
    <row r="96" spans="1:41">
      <c r="A96" s="121"/>
      <c r="B96" s="124"/>
      <c r="C96" s="124"/>
      <c r="D96" s="126">
        <f>SUM(D83:D94)</f>
        <v>0</v>
      </c>
      <c r="E96" s="126">
        <f>SUM(E83:E94)</f>
        <v>0</v>
      </c>
      <c r="F96" s="126">
        <f>SUM(F83:F94)</f>
        <v>0</v>
      </c>
      <c r="G96" s="126">
        <f>SUM(G83:G94)</f>
        <v>0</v>
      </c>
      <c r="H96" s="145" t="s">
        <v>34</v>
      </c>
      <c r="S96" s="122" t="s">
        <v>802</v>
      </c>
      <c r="V96" s="767">
        <f>+Factors!$D$70</f>
        <v>0.24</v>
      </c>
      <c r="W96" s="768"/>
      <c r="X96" s="768"/>
      <c r="Y96" s="768"/>
      <c r="Z96" s="125" t="s">
        <v>759</v>
      </c>
      <c r="AA96" s="424"/>
      <c r="AC96" s="125"/>
      <c r="AD96" s="402"/>
      <c r="AE96" s="125"/>
      <c r="AF96" s="125"/>
      <c r="AG96" s="125"/>
      <c r="AH96" s="392"/>
      <c r="AJ96" s="97"/>
      <c r="AK96" s="97"/>
      <c r="AL96" s="97"/>
      <c r="AM96" s="97"/>
      <c r="AN96" s="97"/>
      <c r="AO96" s="97"/>
    </row>
    <row r="97" spans="1:41">
      <c r="A97" s="121"/>
      <c r="S97" s="122" t="s">
        <v>748</v>
      </c>
      <c r="T97" s="427">
        <v>8</v>
      </c>
      <c r="U97" s="125" t="s">
        <v>3</v>
      </c>
      <c r="V97" s="760">
        <f>T97*$U$5/1000</f>
        <v>2.14137216</v>
      </c>
      <c r="W97" s="760"/>
      <c r="X97" s="760"/>
      <c r="Y97" s="760"/>
      <c r="Z97" s="125" t="s">
        <v>764</v>
      </c>
      <c r="AA97" s="426"/>
      <c r="AC97" s="125"/>
      <c r="AD97" s="402"/>
      <c r="AE97" s="125"/>
      <c r="AF97" s="125"/>
      <c r="AG97" s="125"/>
      <c r="AH97" s="392"/>
      <c r="AJ97" s="97"/>
      <c r="AK97" s="97"/>
      <c r="AL97" s="97"/>
      <c r="AM97" s="97"/>
      <c r="AN97" s="97"/>
      <c r="AO97" s="97"/>
    </row>
    <row r="98" spans="1:41">
      <c r="A98" s="121" t="s">
        <v>187</v>
      </c>
      <c r="B98" s="124"/>
      <c r="C98" s="124"/>
      <c r="D98" s="124"/>
      <c r="E98" s="124"/>
      <c r="F98" s="124"/>
      <c r="G98" s="124"/>
      <c r="H98" s="145"/>
      <c r="S98" s="122" t="s">
        <v>747</v>
      </c>
      <c r="T98" s="125">
        <v>45.6</v>
      </c>
      <c r="U98" s="125" t="s">
        <v>3</v>
      </c>
      <c r="V98" s="760">
        <f>T98*$U$4/1000</f>
        <v>0</v>
      </c>
      <c r="W98" s="760"/>
      <c r="X98" s="760"/>
      <c r="Y98" s="760"/>
      <c r="Z98" s="125" t="s">
        <v>764</v>
      </c>
      <c r="AA98" s="426"/>
      <c r="AC98" s="125"/>
      <c r="AD98" s="402"/>
      <c r="AE98" s="125"/>
      <c r="AF98" s="125"/>
      <c r="AG98" s="125"/>
      <c r="AH98" s="392"/>
      <c r="AJ98" s="97"/>
      <c r="AK98" s="97"/>
      <c r="AL98" s="97"/>
      <c r="AM98" s="97"/>
      <c r="AN98" s="97"/>
      <c r="AO98" s="97"/>
    </row>
    <row r="99" spans="1:41">
      <c r="A99" s="124"/>
      <c r="B99" s="124"/>
      <c r="C99" s="124"/>
      <c r="D99" s="124"/>
      <c r="E99" s="124"/>
      <c r="F99" s="124"/>
      <c r="G99" s="124"/>
      <c r="H99" s="145"/>
      <c r="S99" s="123" t="s">
        <v>885</v>
      </c>
      <c r="T99" s="123"/>
      <c r="U99" s="123"/>
      <c r="V99" s="185">
        <f>+'Treatment &amp; Disposal'!$E$76*$X$16+'Treatment &amp; Disposal'!$E$77*$Y$16+'Treatment &amp; Disposal'!$E$78*$Z$16+'Treatment &amp; Disposal'!$E$79*$W$16</f>
        <v>0</v>
      </c>
      <c r="W99" s="185">
        <f>+'Treatment &amp; Disposal'!$G$76*$X$16+'Treatment &amp; Disposal'!$G$77*$Y$16+'Treatment &amp; Disposal'!$G$78*$Z$16+'Treatment &amp; Disposal'!$G$79*$W$16</f>
        <v>0</v>
      </c>
      <c r="X99" s="185">
        <f>+'Treatment &amp; Disposal'!$H$76*$X$16+'Treatment &amp; Disposal'!$H$77*$Y$16+'Treatment &amp; Disposal'!$H$78*$Z$16+'Treatment &amp; Disposal'!$H$79*$W$16</f>
        <v>0</v>
      </c>
      <c r="Y99" s="185">
        <f>+'Treatment &amp; Disposal'!$I$76*$X$16+'Treatment &amp; Disposal'!$I$77*$Y$16+'Treatment &amp; Disposal'!$I$78*$Z$16+'Treatment &amp; Disposal'!$I$79*$W$16</f>
        <v>0</v>
      </c>
      <c r="Z99" s="125" t="s">
        <v>764</v>
      </c>
      <c r="AA99" s="426"/>
      <c r="AC99" s="125"/>
      <c r="AD99" s="402"/>
      <c r="AE99" s="125"/>
      <c r="AF99" s="125"/>
      <c r="AG99" s="125"/>
      <c r="AH99" s="392"/>
      <c r="AJ99" s="97"/>
      <c r="AK99" s="97"/>
      <c r="AL99" s="97"/>
      <c r="AM99" s="97"/>
      <c r="AN99" s="97"/>
      <c r="AO99" s="97"/>
    </row>
    <row r="100" spans="1:41">
      <c r="B100" s="137" t="s">
        <v>74</v>
      </c>
      <c r="C100" s="124"/>
      <c r="D100" s="121" t="str">
        <f>+Recycling!$E$9</f>
        <v>Status Quo</v>
      </c>
      <c r="E100" s="121" t="str">
        <f>+Recycling!$G$9</f>
        <v>Scenario 1</v>
      </c>
      <c r="F100" s="121" t="str">
        <f>+Recycling!$H$9</f>
        <v>Scenario 2</v>
      </c>
      <c r="G100" s="121" t="str">
        <f>+Recycling!$I$9</f>
        <v>Scenario 3</v>
      </c>
      <c r="H100" s="145"/>
      <c r="S100" s="123" t="s">
        <v>831</v>
      </c>
      <c r="T100" s="449">
        <v>0.09</v>
      </c>
      <c r="U100" s="123"/>
      <c r="V100" s="185">
        <f>+'Treatment &amp; Disposal'!$E$80*$T$100*1000*44/12</f>
        <v>0</v>
      </c>
      <c r="W100" s="185">
        <f>+'Treatment &amp; Disposal'!$G$80*$T$100*1000*44/12</f>
        <v>0</v>
      </c>
      <c r="X100" s="185">
        <f>+'Treatment &amp; Disposal'!$H$80*$T$100*1000*44/12</f>
        <v>0</v>
      </c>
      <c r="Y100" s="185">
        <f>+'Treatment &amp; Disposal'!$I$80*$T$100*1000*44/12</f>
        <v>0</v>
      </c>
      <c r="Z100" s="125" t="s">
        <v>103</v>
      </c>
      <c r="AA100" s="424"/>
      <c r="AC100" s="125"/>
      <c r="AD100" s="402"/>
      <c r="AE100" s="125"/>
      <c r="AF100" s="125"/>
      <c r="AG100" s="125"/>
      <c r="AH100" s="392"/>
      <c r="AJ100" s="97"/>
      <c r="AK100" s="97"/>
      <c r="AL100" s="97"/>
      <c r="AM100" s="97"/>
      <c r="AN100" s="97"/>
      <c r="AO100" s="97"/>
    </row>
    <row r="101" spans="1:41">
      <c r="B101" s="161" t="s">
        <v>90</v>
      </c>
      <c r="C101" s="124"/>
      <c r="D101" s="138" t="e">
        <f t="shared" ref="D101:G102" si="17">+D83/D$95</f>
        <v>#DIV/0!</v>
      </c>
      <c r="E101" s="138" t="e">
        <f t="shared" si="17"/>
        <v>#DIV/0!</v>
      </c>
      <c r="F101" s="138" t="e">
        <f>+F83/F$95</f>
        <v>#DIV/0!</v>
      </c>
      <c r="G101" s="138" t="e">
        <f>+G83/G$95</f>
        <v>#DIV/0!</v>
      </c>
      <c r="H101" s="145" t="s">
        <v>29</v>
      </c>
      <c r="S101" s="124" t="s">
        <v>832</v>
      </c>
      <c r="V101" s="185">
        <f>('Treatment &amp; Disposal'!$E$81+'Treatment &amp; Disposal'!$E$82)*'Treatment &amp; Disposal'!$E$89*1000*44/12</f>
        <v>0</v>
      </c>
      <c r="W101" s="185">
        <f>('Treatment &amp; Disposal'!$G$81+'Treatment &amp; Disposal'!$G$82)*'Treatment &amp; Disposal'!$G$89*1000*44/12</f>
        <v>0</v>
      </c>
      <c r="X101" s="185">
        <f>('Treatment &amp; Disposal'!$H$81+'Treatment &amp; Disposal'!$H$82)*'Treatment &amp; Disposal'!$H$89*1000*44/12</f>
        <v>0</v>
      </c>
      <c r="Y101" s="185">
        <f>('Treatment &amp; Disposal'!$I$81+'Treatment &amp; Disposal'!$I$82)*'Treatment &amp; Disposal'!$I$89*1000*44/12</f>
        <v>0</v>
      </c>
      <c r="Z101" s="125" t="s">
        <v>103</v>
      </c>
      <c r="AA101" s="424"/>
      <c r="AC101" s="125"/>
      <c r="AD101" s="402"/>
      <c r="AE101" s="125"/>
      <c r="AF101" s="125"/>
      <c r="AG101" s="125"/>
      <c r="AH101" s="392"/>
      <c r="AJ101" s="97"/>
      <c r="AK101" s="97"/>
      <c r="AL101" s="97"/>
      <c r="AM101" s="97"/>
      <c r="AN101" s="97"/>
      <c r="AO101" s="97"/>
    </row>
    <row r="102" spans="1:41">
      <c r="B102" s="161" t="s">
        <v>101</v>
      </c>
      <c r="C102" s="124"/>
      <c r="D102" s="138" t="e">
        <f t="shared" si="17"/>
        <v>#DIV/0!</v>
      </c>
      <c r="E102" s="138" t="e">
        <f t="shared" si="17"/>
        <v>#DIV/0!</v>
      </c>
      <c r="F102" s="138" t="e">
        <f t="shared" si="17"/>
        <v>#DIV/0!</v>
      </c>
      <c r="G102" s="138" t="e">
        <f t="shared" si="17"/>
        <v>#DIV/0!</v>
      </c>
      <c r="H102" s="145" t="s">
        <v>29</v>
      </c>
      <c r="S102" s="124" t="s">
        <v>937</v>
      </c>
      <c r="V102" s="185"/>
      <c r="W102" s="185"/>
      <c r="X102" s="185"/>
      <c r="Y102" s="185"/>
      <c r="AA102" s="426"/>
      <c r="AC102" s="125"/>
      <c r="AD102" s="402"/>
      <c r="AE102" s="125"/>
      <c r="AF102" s="125"/>
      <c r="AG102" s="125"/>
      <c r="AH102" s="392"/>
      <c r="AJ102" s="97"/>
      <c r="AK102" s="97"/>
      <c r="AL102" s="97"/>
      <c r="AM102" s="97"/>
      <c r="AN102" s="97"/>
      <c r="AO102" s="97"/>
    </row>
    <row r="103" spans="1:41">
      <c r="B103" s="161" t="s">
        <v>20</v>
      </c>
      <c r="C103" s="124"/>
      <c r="D103" s="138" t="e">
        <f t="shared" ref="D103:D104" si="18">+D85/$D$95</f>
        <v>#DIV/0!</v>
      </c>
      <c r="E103" s="138" t="e">
        <f t="shared" ref="E103:G104" si="19">+E85/E$95</f>
        <v>#DIV/0!</v>
      </c>
      <c r="F103" s="138" t="e">
        <f t="shared" si="19"/>
        <v>#DIV/0!</v>
      </c>
      <c r="G103" s="138" t="e">
        <f t="shared" si="19"/>
        <v>#DIV/0!</v>
      </c>
      <c r="H103" s="145" t="s">
        <v>29</v>
      </c>
      <c r="S103" s="667" t="s">
        <v>509</v>
      </c>
      <c r="T103" s="123"/>
      <c r="U103" s="123"/>
      <c r="V103" s="123"/>
      <c r="W103" s="123"/>
      <c r="X103" s="123"/>
      <c r="Y103" s="123"/>
      <c r="Z103" s="123"/>
      <c r="AA103" s="392"/>
      <c r="AC103" s="125"/>
      <c r="AD103" s="402"/>
      <c r="AE103" s="125"/>
      <c r="AF103" s="125"/>
      <c r="AG103" s="125"/>
      <c r="AH103" s="392"/>
      <c r="AJ103" s="97"/>
      <c r="AK103" s="97"/>
      <c r="AL103" s="97"/>
      <c r="AM103" s="97"/>
      <c r="AN103" s="97"/>
      <c r="AO103" s="97"/>
    </row>
    <row r="104" spans="1:41">
      <c r="B104" s="161" t="s">
        <v>21</v>
      </c>
      <c r="C104" s="124"/>
      <c r="D104" s="138" t="e">
        <f t="shared" si="18"/>
        <v>#DIV/0!</v>
      </c>
      <c r="E104" s="138" t="e">
        <f t="shared" si="19"/>
        <v>#DIV/0!</v>
      </c>
      <c r="F104" s="138" t="e">
        <f t="shared" si="19"/>
        <v>#DIV/0!</v>
      </c>
      <c r="G104" s="138" t="e">
        <f t="shared" si="19"/>
        <v>#DIV/0!</v>
      </c>
      <c r="H104" s="145" t="s">
        <v>29</v>
      </c>
      <c r="S104" s="123" t="s">
        <v>886</v>
      </c>
      <c r="T104" s="123"/>
      <c r="U104" s="123"/>
      <c r="V104" s="130">
        <f>+'Treatment &amp; Disposal'!$E$76*$X$17+'Treatment &amp; Disposal'!$E$77*$Y$17+'Treatment &amp; Disposal'!$E$78*$Z$17+'Treatment &amp; Disposal'!$E$79*$W$17</f>
        <v>0</v>
      </c>
      <c r="W104" s="130">
        <f>+'Treatment &amp; Disposal'!$G$76*$X$17+'Treatment &amp; Disposal'!$G$77*$Y$17+'Treatment &amp; Disposal'!$G$78*$Z$17+'Treatment &amp; Disposal'!$G$79*$W$17</f>
        <v>0</v>
      </c>
      <c r="X104" s="130">
        <f>+'Treatment &amp; Disposal'!$H$76*$X$17+'Treatment &amp; Disposal'!$H$77*$Y$17+'Treatment &amp; Disposal'!$H$78*$Z$17+'Treatment &amp; Disposal'!$H$79*$W$17</f>
        <v>0</v>
      </c>
      <c r="Y104" s="130">
        <f>+'Treatment &amp; Disposal'!$I$76*$X$17+'Treatment &amp; Disposal'!$I$77*$Y$17+'Treatment &amp; Disposal'!$I$78*$Z$17+'Treatment &amp; Disposal'!$I$79*$W$17</f>
        <v>0</v>
      </c>
      <c r="Z104" s="125" t="s">
        <v>764</v>
      </c>
      <c r="AA104" s="392"/>
      <c r="AC104" s="125"/>
      <c r="AD104" s="402"/>
      <c r="AE104" s="125"/>
      <c r="AF104" s="125"/>
      <c r="AG104" s="125"/>
      <c r="AH104" s="392"/>
      <c r="AJ104" s="97"/>
      <c r="AK104" s="97"/>
      <c r="AL104" s="97"/>
      <c r="AM104" s="97"/>
      <c r="AN104" s="97"/>
      <c r="AO104" s="97"/>
    </row>
    <row r="105" spans="1:41">
      <c r="B105" s="161" t="s">
        <v>22</v>
      </c>
      <c r="C105" s="124"/>
      <c r="D105" s="138" t="e">
        <f t="shared" ref="D105:D112" si="20">+D87/$D$95</f>
        <v>#DIV/0!</v>
      </c>
      <c r="E105" s="138" t="e">
        <f t="shared" ref="E105:G112" si="21">+E87/E$95</f>
        <v>#DIV/0!</v>
      </c>
      <c r="F105" s="138" t="e">
        <f t="shared" si="21"/>
        <v>#DIV/0!</v>
      </c>
      <c r="G105" s="138" t="e">
        <f t="shared" si="21"/>
        <v>#DIV/0!</v>
      </c>
      <c r="H105" s="145" t="s">
        <v>29</v>
      </c>
      <c r="S105" s="123" t="s">
        <v>833</v>
      </c>
      <c r="T105" s="125">
        <v>9200</v>
      </c>
      <c r="U105" s="125" t="s">
        <v>834</v>
      </c>
      <c r="V105" s="452">
        <f>$T$105/3.6*'Treatment &amp; Disposal'!$E$80*((0.1*$U$4/1000)+(0.3*$U$7/1000))</f>
        <v>0</v>
      </c>
      <c r="W105" s="452">
        <f>$T$105/3.6*'Treatment &amp; Disposal'!$G$80*((0.1*$U$4/1000)+(0.3*$U$7/1000))</f>
        <v>0</v>
      </c>
      <c r="X105" s="452">
        <f>$T$105/3.6*'Treatment &amp; Disposal'!$H$80*((0.1*$U$4/1000)+(0.3*$U$7/1000))</f>
        <v>0</v>
      </c>
      <c r="Y105" s="452">
        <f>$T$105/3.6*'Treatment &amp; Disposal'!$I$80*((0.1*$U$4/1000)+(0.3*$U$7/1000))</f>
        <v>0</v>
      </c>
      <c r="Z105" s="125" t="s">
        <v>764</v>
      </c>
      <c r="AA105" s="392"/>
      <c r="AC105" s="125"/>
      <c r="AD105" s="402"/>
      <c r="AE105" s="125"/>
      <c r="AF105" s="125"/>
      <c r="AG105" s="125"/>
      <c r="AH105" s="392"/>
      <c r="AJ105" s="97"/>
      <c r="AK105" s="97"/>
      <c r="AL105" s="97"/>
      <c r="AM105" s="97"/>
      <c r="AN105" s="97"/>
      <c r="AO105" s="97"/>
    </row>
    <row r="106" spans="1:41">
      <c r="B106" s="161" t="s">
        <v>93</v>
      </c>
      <c r="C106" s="124"/>
      <c r="D106" s="138" t="e">
        <f t="shared" si="20"/>
        <v>#DIV/0!</v>
      </c>
      <c r="E106" s="138" t="e">
        <f t="shared" si="21"/>
        <v>#DIV/0!</v>
      </c>
      <c r="F106" s="138" t="e">
        <f t="shared" si="21"/>
        <v>#DIV/0!</v>
      </c>
      <c r="G106" s="138" t="e">
        <f t="shared" si="21"/>
        <v>#DIV/0!</v>
      </c>
      <c r="H106" s="145" t="s">
        <v>29</v>
      </c>
      <c r="S106" s="123" t="s">
        <v>835</v>
      </c>
      <c r="V106" s="452">
        <f>'Treatment &amp; Disposal'!$E$90*1000/3.6*'Treatment &amp; Disposal'!$E$81*((0.1*$U$4/1000)+(0.3*$U$7/1000))</f>
        <v>0</v>
      </c>
      <c r="W106" s="452">
        <f>'Treatment &amp; Disposal'!$G$90*1000/3.6*'Treatment &amp; Disposal'!$G$81*((0.1*$U$4/1000)+(0.3*$U$7/1000))</f>
        <v>0</v>
      </c>
      <c r="X106" s="452">
        <f>'Treatment &amp; Disposal'!$H$90*1000/3.6*'Treatment &amp; Disposal'!$H$81*((0.1*$U$4/1000)+(0.3*$U$7/1000))</f>
        <v>0</v>
      </c>
      <c r="Y106" s="452">
        <f>'Treatment &amp; Disposal'!$I$90*1000/3.6*'Treatment &amp; Disposal'!$I$81*((0.1*$U$4/1000)+(0.3*$U$7/1000))</f>
        <v>0</v>
      </c>
      <c r="Z106" s="125" t="s">
        <v>764</v>
      </c>
      <c r="AA106" s="392"/>
      <c r="AC106" s="125"/>
      <c r="AD106" s="402"/>
      <c r="AE106" s="125"/>
      <c r="AF106" s="125"/>
      <c r="AG106" s="125"/>
      <c r="AH106" s="392"/>
      <c r="AJ106" s="97"/>
      <c r="AK106" s="97"/>
      <c r="AL106" s="97"/>
      <c r="AM106" s="97"/>
      <c r="AN106" s="97"/>
      <c r="AO106" s="97"/>
    </row>
    <row r="107" spans="1:41">
      <c r="B107" s="161" t="s">
        <v>94</v>
      </c>
      <c r="C107" s="124"/>
      <c r="D107" s="138" t="e">
        <f t="shared" si="20"/>
        <v>#DIV/0!</v>
      </c>
      <c r="E107" s="138" t="e">
        <f t="shared" si="21"/>
        <v>#DIV/0!</v>
      </c>
      <c r="F107" s="138" t="e">
        <f t="shared" si="21"/>
        <v>#DIV/0!</v>
      </c>
      <c r="G107" s="138" t="e">
        <f t="shared" si="21"/>
        <v>#DIV/0!</v>
      </c>
      <c r="H107" s="145" t="s">
        <v>29</v>
      </c>
      <c r="S107" s="123" t="s">
        <v>838</v>
      </c>
      <c r="T107" s="123"/>
      <c r="U107" s="186"/>
      <c r="V107" s="452">
        <f>'Treatment &amp; Disposal'!$E$90*1000/3.6*'Treatment &amp; Disposal'!$E$82*$U$8/1000</f>
        <v>0</v>
      </c>
      <c r="W107" s="452">
        <f>'Treatment &amp; Disposal'!$G$90*1000/3.6*'Treatment &amp; Disposal'!$G$82*$U$8/1000</f>
        <v>0</v>
      </c>
      <c r="X107" s="452">
        <f>'Treatment &amp; Disposal'!$H$90*1000/3.6*'Treatment &amp; Disposal'!$H$82*$U$8/1000</f>
        <v>0</v>
      </c>
      <c r="Y107" s="453">
        <f>'Treatment &amp; Disposal'!$I$90*1000/3.6*'Treatment &amp; Disposal'!$I$82*$U$8/1000</f>
        <v>0</v>
      </c>
      <c r="Z107" s="186" t="s">
        <v>764</v>
      </c>
      <c r="AA107" s="392"/>
      <c r="AC107" s="125"/>
      <c r="AD107" s="402"/>
      <c r="AE107" s="125"/>
      <c r="AF107" s="125"/>
      <c r="AG107" s="125"/>
      <c r="AH107" s="392"/>
      <c r="AJ107" s="97"/>
      <c r="AK107" s="97"/>
      <c r="AL107" s="97"/>
      <c r="AM107" s="97"/>
      <c r="AN107" s="97"/>
      <c r="AO107" s="97"/>
    </row>
    <row r="108" spans="1:41">
      <c r="B108" s="166" t="s">
        <v>55</v>
      </c>
      <c r="C108" s="124"/>
      <c r="D108" s="138" t="e">
        <f t="shared" si="20"/>
        <v>#DIV/0!</v>
      </c>
      <c r="E108" s="138" t="e">
        <f t="shared" si="21"/>
        <v>#DIV/0!</v>
      </c>
      <c r="F108" s="138" t="e">
        <f t="shared" si="21"/>
        <v>#DIV/0!</v>
      </c>
      <c r="G108" s="138" t="e">
        <f t="shared" si="21"/>
        <v>#DIV/0!</v>
      </c>
      <c r="H108" s="145" t="s">
        <v>29</v>
      </c>
      <c r="S108" s="124" t="s">
        <v>887</v>
      </c>
      <c r="T108" s="123"/>
      <c r="U108" s="123"/>
      <c r="V108" s="452"/>
      <c r="W108" s="452"/>
      <c r="X108" s="452"/>
      <c r="Y108" s="452"/>
      <c r="Z108" s="125" t="s">
        <v>764</v>
      </c>
      <c r="AA108" s="392"/>
      <c r="AC108" s="125"/>
      <c r="AD108" s="402"/>
      <c r="AE108" s="125"/>
      <c r="AF108" s="125"/>
      <c r="AG108" s="125"/>
      <c r="AH108" s="392"/>
      <c r="AJ108" s="97"/>
      <c r="AK108" s="97"/>
      <c r="AL108" s="97"/>
      <c r="AM108" s="97"/>
      <c r="AN108" s="97"/>
      <c r="AO108" s="97"/>
    </row>
    <row r="109" spans="1:41">
      <c r="B109" s="166" t="s">
        <v>102</v>
      </c>
      <c r="C109" s="124"/>
      <c r="D109" s="138" t="e">
        <f t="shared" si="20"/>
        <v>#DIV/0!</v>
      </c>
      <c r="E109" s="138" t="e">
        <f t="shared" si="21"/>
        <v>#DIV/0!</v>
      </c>
      <c r="F109" s="138" t="e">
        <f t="shared" si="21"/>
        <v>#DIV/0!</v>
      </c>
      <c r="G109" s="138" t="e">
        <f t="shared" si="21"/>
        <v>#DIV/0!</v>
      </c>
      <c r="H109" s="145" t="s">
        <v>29</v>
      </c>
      <c r="S109" s="668" t="s">
        <v>840</v>
      </c>
      <c r="T109" s="454"/>
      <c r="U109" s="454"/>
      <c r="V109" s="665">
        <f>SUM(V104:V108)</f>
        <v>0</v>
      </c>
      <c r="W109" s="665">
        <f>SUM(W104:W108)</f>
        <v>0</v>
      </c>
      <c r="X109" s="665">
        <f>SUM(X104:X108)</f>
        <v>0</v>
      </c>
      <c r="Y109" s="665">
        <f>SUM(Y104:Y108)</f>
        <v>0</v>
      </c>
      <c r="Z109" s="668" t="s">
        <v>798</v>
      </c>
      <c r="AA109" s="392"/>
      <c r="AC109" s="125"/>
      <c r="AD109" s="402"/>
      <c r="AE109" s="125"/>
      <c r="AF109" s="125"/>
      <c r="AG109" s="125"/>
      <c r="AH109" s="392"/>
      <c r="AJ109" s="97"/>
      <c r="AK109" s="97"/>
      <c r="AL109" s="97"/>
      <c r="AM109" s="97"/>
      <c r="AN109" s="97"/>
      <c r="AO109" s="97"/>
    </row>
    <row r="110" spans="1:41">
      <c r="B110" s="166" t="s">
        <v>92</v>
      </c>
      <c r="C110" s="124"/>
      <c r="D110" s="138" t="e">
        <f t="shared" si="20"/>
        <v>#DIV/0!</v>
      </c>
      <c r="E110" s="138" t="e">
        <f t="shared" si="21"/>
        <v>#DIV/0!</v>
      </c>
      <c r="F110" s="138" t="e">
        <f t="shared" si="21"/>
        <v>#DIV/0!</v>
      </c>
      <c r="G110" s="138" t="e">
        <f t="shared" si="21"/>
        <v>#DIV/0!</v>
      </c>
      <c r="H110" s="145" t="s">
        <v>29</v>
      </c>
      <c r="S110" s="123"/>
      <c r="T110" s="123"/>
      <c r="U110" s="123"/>
      <c r="V110" s="123"/>
      <c r="W110" s="123"/>
      <c r="X110" s="123"/>
      <c r="Y110" s="123"/>
      <c r="Z110" s="123"/>
      <c r="AA110" s="392"/>
      <c r="AC110" s="125"/>
      <c r="AD110" s="402"/>
      <c r="AE110" s="125"/>
      <c r="AF110" s="125"/>
      <c r="AG110" s="125"/>
      <c r="AH110" s="392"/>
      <c r="AJ110" s="97"/>
      <c r="AK110" s="97"/>
      <c r="AL110" s="97"/>
      <c r="AM110" s="97"/>
      <c r="AN110" s="97"/>
      <c r="AO110" s="97"/>
    </row>
    <row r="111" spans="1:41">
      <c r="B111" s="166" t="s">
        <v>91</v>
      </c>
      <c r="C111" s="124"/>
      <c r="D111" s="138" t="e">
        <f t="shared" si="20"/>
        <v>#DIV/0!</v>
      </c>
      <c r="E111" s="138" t="e">
        <f t="shared" si="21"/>
        <v>#DIV/0!</v>
      </c>
      <c r="F111" s="138" t="e">
        <f t="shared" si="21"/>
        <v>#DIV/0!</v>
      </c>
      <c r="G111" s="138" t="e">
        <f t="shared" si="21"/>
        <v>#DIV/0!</v>
      </c>
      <c r="H111" s="145" t="s">
        <v>29</v>
      </c>
      <c r="S111" s="121" t="str">
        <f>+'Treatment &amp; Disposal'!$B$17</f>
        <v>MBT anaerobic + further treatment</v>
      </c>
      <c r="V111" s="445"/>
      <c r="AA111" s="392"/>
      <c r="AC111" s="125"/>
      <c r="AD111" s="402"/>
      <c r="AE111" s="125"/>
      <c r="AF111" s="125"/>
      <c r="AG111" s="125"/>
      <c r="AH111" s="392"/>
      <c r="AJ111" s="97"/>
      <c r="AK111" s="97"/>
      <c r="AL111" s="97"/>
      <c r="AM111" s="97"/>
      <c r="AN111" s="97"/>
      <c r="AO111" s="97"/>
    </row>
    <row r="112" spans="1:41">
      <c r="B112" s="167" t="s">
        <v>705</v>
      </c>
      <c r="C112" s="450"/>
      <c r="D112" s="138" t="e">
        <f t="shared" si="20"/>
        <v>#DIV/0!</v>
      </c>
      <c r="E112" s="138" t="e">
        <f t="shared" si="21"/>
        <v>#DIV/0!</v>
      </c>
      <c r="F112" s="138" t="e">
        <f t="shared" si="21"/>
        <v>#DIV/0!</v>
      </c>
      <c r="G112" s="138" t="e">
        <f t="shared" si="21"/>
        <v>#DIV/0!</v>
      </c>
      <c r="H112" s="168" t="s">
        <v>29</v>
      </c>
      <c r="S112" s="125" t="s">
        <v>938</v>
      </c>
      <c r="V112" s="757">
        <f>+Factors!$C$71</f>
        <v>2.8</v>
      </c>
      <c r="W112" s="758"/>
      <c r="X112" s="758"/>
      <c r="Y112" s="759"/>
      <c r="Z112" s="125" t="s">
        <v>756</v>
      </c>
      <c r="AA112" s="424"/>
      <c r="AC112" s="125"/>
      <c r="AD112" s="402"/>
      <c r="AE112" s="125"/>
      <c r="AF112" s="125"/>
      <c r="AG112" s="125"/>
      <c r="AH112" s="392"/>
      <c r="AJ112" s="97"/>
      <c r="AK112" s="97"/>
      <c r="AL112" s="97"/>
      <c r="AM112" s="97"/>
      <c r="AN112" s="97"/>
      <c r="AO112" s="97"/>
    </row>
    <row r="113" spans="1:41">
      <c r="B113" s="165" t="s">
        <v>23</v>
      </c>
      <c r="C113" s="124"/>
      <c r="D113" s="170" t="e">
        <f>SUM(D101:D112)</f>
        <v>#DIV/0!</v>
      </c>
      <c r="E113" s="170" t="e">
        <f>SUM(E101:E112)</f>
        <v>#DIV/0!</v>
      </c>
      <c r="F113" s="170" t="e">
        <f>SUM(F101:F112)</f>
        <v>#DIV/0!</v>
      </c>
      <c r="G113" s="170" t="e">
        <f>SUM(G101:G112)</f>
        <v>#DIV/0!</v>
      </c>
      <c r="H113" s="145" t="s">
        <v>29</v>
      </c>
      <c r="S113" s="122" t="s">
        <v>802</v>
      </c>
      <c r="V113" s="754">
        <f>+Factors!$D$71</f>
        <v>0.12</v>
      </c>
      <c r="W113" s="755"/>
      <c r="X113" s="755"/>
      <c r="Y113" s="756"/>
      <c r="Z113" s="125" t="s">
        <v>759</v>
      </c>
      <c r="AA113" s="424"/>
      <c r="AC113" s="125"/>
      <c r="AD113" s="402"/>
      <c r="AE113" s="125"/>
      <c r="AF113" s="125"/>
      <c r="AG113" s="125"/>
      <c r="AH113" s="392"/>
      <c r="AJ113" s="97"/>
      <c r="AK113" s="97"/>
      <c r="AL113" s="97"/>
      <c r="AM113" s="97"/>
      <c r="AN113" s="97"/>
      <c r="AO113" s="97"/>
    </row>
    <row r="114" spans="1:41">
      <c r="A114" s="121"/>
      <c r="S114" s="122" t="s">
        <v>748</v>
      </c>
      <c r="T114" s="427">
        <v>8</v>
      </c>
      <c r="U114" s="125" t="s">
        <v>3</v>
      </c>
      <c r="V114" s="747">
        <f>T114*$U$5/1000</f>
        <v>2.14137216</v>
      </c>
      <c r="W114" s="748"/>
      <c r="X114" s="748"/>
      <c r="Y114" s="749"/>
      <c r="Z114" s="125" t="s">
        <v>764</v>
      </c>
      <c r="AA114" s="426"/>
      <c r="AC114" s="125"/>
      <c r="AD114" s="402"/>
      <c r="AE114" s="125"/>
      <c r="AF114" s="125"/>
      <c r="AG114" s="125"/>
      <c r="AH114" s="392"/>
      <c r="AJ114" s="97"/>
      <c r="AK114" s="97"/>
      <c r="AL114" s="97"/>
      <c r="AM114" s="97"/>
      <c r="AN114" s="97"/>
      <c r="AO114" s="97"/>
    </row>
    <row r="115" spans="1:41">
      <c r="S115" s="122" t="s">
        <v>747</v>
      </c>
      <c r="T115" s="125">
        <v>55.7</v>
      </c>
      <c r="U115" s="125" t="s">
        <v>3</v>
      </c>
      <c r="V115" s="747">
        <f>T115*$U$4/1000</f>
        <v>0</v>
      </c>
      <c r="W115" s="748"/>
      <c r="X115" s="748"/>
      <c r="Y115" s="749"/>
      <c r="Z115" s="125" t="s">
        <v>764</v>
      </c>
      <c r="AA115" s="426"/>
      <c r="AC115" s="125"/>
      <c r="AD115" s="402"/>
      <c r="AE115" s="125"/>
      <c r="AF115" s="125"/>
      <c r="AG115" s="125"/>
      <c r="AH115" s="392"/>
      <c r="AJ115" s="97"/>
      <c r="AK115" s="97"/>
      <c r="AL115" s="97"/>
      <c r="AM115" s="97"/>
      <c r="AN115" s="97"/>
      <c r="AO115" s="97"/>
    </row>
    <row r="116" spans="1:41">
      <c r="A116" s="121" t="s">
        <v>75</v>
      </c>
      <c r="S116" s="123" t="s">
        <v>885</v>
      </c>
      <c r="T116" s="123"/>
      <c r="U116" s="123"/>
      <c r="V116" s="185">
        <f>+'Treatment &amp; Disposal'!$E$94*$X$16+'Treatment &amp; Disposal'!$E$95*$Y$16+'Treatment &amp; Disposal'!$E$96*$Z$16+'Treatment &amp; Disposal'!$E$97*$W$16</f>
        <v>0</v>
      </c>
      <c r="W116" s="185">
        <f>+'Treatment &amp; Disposal'!$G$94*$X$16+'Treatment &amp; Disposal'!$G$95*$Y$16+'Treatment &amp; Disposal'!$G$96*$Z$16+'Treatment &amp; Disposal'!$G$97*$W$16</f>
        <v>0</v>
      </c>
      <c r="X116" s="185">
        <f>+'Treatment &amp; Disposal'!$H$94*$X$16+'Treatment &amp; Disposal'!$H$95*$Y$16+'Treatment &amp; Disposal'!$H$96*$Z$16+'Treatment &amp; Disposal'!$H$97*$W$16</f>
        <v>0</v>
      </c>
      <c r="Y116" s="185">
        <f>+'Treatment &amp; Disposal'!$I$94*$X$16+'Treatment &amp; Disposal'!$I$95*$Y$16+'Treatment &amp; Disposal'!$I$96*$Z$16+'Treatment &amp; Disposal'!$I$97*$W$16</f>
        <v>0</v>
      </c>
      <c r="Z116" s="125" t="s">
        <v>764</v>
      </c>
      <c r="AA116" s="426"/>
      <c r="AC116" s="125"/>
      <c r="AD116" s="402"/>
      <c r="AE116" s="125"/>
      <c r="AF116" s="125"/>
      <c r="AG116" s="125"/>
      <c r="AH116" s="392"/>
      <c r="AJ116" s="97"/>
      <c r="AK116" s="97"/>
      <c r="AL116" s="97"/>
      <c r="AM116" s="97"/>
      <c r="AN116" s="97"/>
      <c r="AO116" s="97"/>
    </row>
    <row r="117" spans="1:41">
      <c r="B117" s="171" t="s">
        <v>76</v>
      </c>
      <c r="D117" s="121" t="str">
        <f>+Recycling!$E$9</f>
        <v>Status Quo</v>
      </c>
      <c r="E117" s="121" t="str">
        <f>+Recycling!$G$9</f>
        <v>Scenario 1</v>
      </c>
      <c r="F117" s="121" t="str">
        <f>+Recycling!$H$9</f>
        <v>Scenario 2</v>
      </c>
      <c r="G117" s="121" t="str">
        <f>+Recycling!$I$9</f>
        <v>Scenario 3</v>
      </c>
      <c r="S117" s="123" t="s">
        <v>831</v>
      </c>
      <c r="T117" s="449">
        <f>+$T$100</f>
        <v>0.09</v>
      </c>
      <c r="U117" s="123"/>
      <c r="V117" s="185">
        <f>+'Treatment &amp; Disposal'!$E$98*$T$117*1000*44/12</f>
        <v>0</v>
      </c>
      <c r="W117" s="185">
        <f>+'Treatment &amp; Disposal'!$G$98*$T$117*1000*44/12</f>
        <v>0</v>
      </c>
      <c r="X117" s="185">
        <f>+'Treatment &amp; Disposal'!$H$98*$T$117*1000*44/12</f>
        <v>0</v>
      </c>
      <c r="Y117" s="185">
        <f>+'Treatment &amp; Disposal'!$I$98*$T$117*1000*44/12</f>
        <v>0</v>
      </c>
      <c r="Z117" s="125" t="s">
        <v>103</v>
      </c>
      <c r="AA117" s="424"/>
      <c r="AC117" s="125"/>
      <c r="AD117" s="402"/>
      <c r="AE117" s="125"/>
      <c r="AF117" s="125"/>
      <c r="AG117" s="125"/>
      <c r="AH117" s="392"/>
      <c r="AJ117" s="97"/>
      <c r="AK117" s="97"/>
      <c r="AL117" s="97"/>
      <c r="AM117" s="97"/>
      <c r="AN117" s="97"/>
      <c r="AO117" s="97"/>
    </row>
    <row r="118" spans="1:41">
      <c r="B118" s="127" t="s">
        <v>71</v>
      </c>
      <c r="D118" s="157" t="e">
        <f>SUMPRODUCT(D101:D112,$C$15:$C$26)</f>
        <v>#DIV/0!</v>
      </c>
      <c r="E118" s="157" t="e">
        <f>SUMPRODUCT(E101:E112,$C$15:$C$26)</f>
        <v>#DIV/0!</v>
      </c>
      <c r="F118" s="157" t="e">
        <f>SUMPRODUCT(F101:F112,$C$15:$C$26)</f>
        <v>#DIV/0!</v>
      </c>
      <c r="G118" s="157" t="e">
        <f>SUMPRODUCT(G101:G112,$C$15:$C$26)</f>
        <v>#DIV/0!</v>
      </c>
      <c r="H118" s="125" t="s">
        <v>70</v>
      </c>
      <c r="S118" s="124" t="s">
        <v>832</v>
      </c>
      <c r="V118" s="185">
        <f>('Treatment &amp; Disposal'!$E$99+'Treatment &amp; Disposal'!$E$100)*'Treatment &amp; Disposal'!$E$112*1000*44/12</f>
        <v>0</v>
      </c>
      <c r="W118" s="185">
        <f>('Treatment &amp; Disposal'!$G$99+'Treatment &amp; Disposal'!$G$100)*'Treatment &amp; Disposal'!$G$112*1000*44/12</f>
        <v>0</v>
      </c>
      <c r="X118" s="185">
        <f>('Treatment &amp; Disposal'!$H$99+'Treatment &amp; Disposal'!$H$100)*'Treatment &amp; Disposal'!$H$112*1000*44/12</f>
        <v>0</v>
      </c>
      <c r="Y118" s="185">
        <f>('Treatment &amp; Disposal'!$I$99+'Treatment &amp; Disposal'!$I$100)*'Treatment &amp; Disposal'!$I$112*1000*44/12</f>
        <v>0</v>
      </c>
      <c r="Z118" s="125" t="s">
        <v>103</v>
      </c>
      <c r="AA118" s="424"/>
      <c r="AC118" s="125"/>
      <c r="AD118" s="402"/>
      <c r="AE118" s="125"/>
      <c r="AF118" s="125"/>
      <c r="AG118" s="125"/>
      <c r="AH118" s="392"/>
      <c r="AJ118" s="97"/>
      <c r="AK118" s="97"/>
      <c r="AL118" s="97"/>
      <c r="AM118" s="97"/>
      <c r="AN118" s="97"/>
      <c r="AO118" s="97"/>
    </row>
    <row r="119" spans="1:41">
      <c r="B119" s="127" t="s">
        <v>72</v>
      </c>
      <c r="D119" s="157" t="e">
        <f>SUMPRODUCT(D101:D112,$C$15:$C$26,$D$15:$D$26)</f>
        <v>#DIV/0!</v>
      </c>
      <c r="E119" s="157" t="e">
        <f>SUMPRODUCT(E101:E112,$C$15:$C$26,$D$15:$D$26)</f>
        <v>#DIV/0!</v>
      </c>
      <c r="F119" s="157" t="e">
        <f>SUMPRODUCT(F101:F112,$C$15:$C$26,$D$15:$D$26)</f>
        <v>#DIV/0!</v>
      </c>
      <c r="G119" s="157" t="e">
        <f>SUMPRODUCT(G101:G112,$C$15:$C$26,$D$15:$D$26)</f>
        <v>#DIV/0!</v>
      </c>
      <c r="H119" s="125" t="s">
        <v>70</v>
      </c>
      <c r="S119" s="124" t="s">
        <v>937</v>
      </c>
      <c r="V119" s="185"/>
      <c r="W119" s="185"/>
      <c r="X119" s="185"/>
      <c r="Y119" s="185"/>
      <c r="AA119" s="426"/>
      <c r="AC119" s="125"/>
      <c r="AD119" s="402"/>
      <c r="AE119" s="125"/>
      <c r="AF119" s="125"/>
      <c r="AG119" s="125"/>
      <c r="AH119" s="392"/>
      <c r="AJ119" s="97"/>
      <c r="AK119" s="97"/>
      <c r="AL119" s="97"/>
      <c r="AM119" s="97"/>
      <c r="AN119" s="97"/>
      <c r="AO119" s="97"/>
    </row>
    <row r="120" spans="1:41">
      <c r="B120" s="127" t="s">
        <v>723</v>
      </c>
      <c r="D120" s="158" t="e">
        <f>+D118-D119</f>
        <v>#DIV/0!</v>
      </c>
      <c r="E120" s="158" t="e">
        <f>+E118-E119</f>
        <v>#DIV/0!</v>
      </c>
      <c r="F120" s="158" t="e">
        <f>+F118-F119</f>
        <v>#DIV/0!</v>
      </c>
      <c r="G120" s="158" t="e">
        <f>+G118-G119</f>
        <v>#DIV/0!</v>
      </c>
      <c r="H120" s="125" t="s">
        <v>70</v>
      </c>
      <c r="S120" s="667" t="s">
        <v>509</v>
      </c>
      <c r="T120" s="123"/>
      <c r="U120" s="123"/>
      <c r="V120" s="451"/>
      <c r="W120" s="451"/>
      <c r="X120" s="451"/>
      <c r="Y120" s="451"/>
      <c r="Z120" s="123"/>
      <c r="AA120" s="392"/>
      <c r="AC120" s="125"/>
      <c r="AD120" s="402"/>
      <c r="AE120" s="125"/>
      <c r="AF120" s="125"/>
      <c r="AG120" s="125"/>
      <c r="AH120" s="392"/>
      <c r="AJ120" s="97"/>
      <c r="AK120" s="97"/>
      <c r="AL120" s="97"/>
      <c r="AM120" s="97"/>
      <c r="AN120" s="97"/>
      <c r="AO120" s="97"/>
    </row>
    <row r="121" spans="1:41">
      <c r="S121" s="123" t="s">
        <v>886</v>
      </c>
      <c r="T121" s="123"/>
      <c r="U121" s="123"/>
      <c r="V121" s="185">
        <f>+'Treatment &amp; Disposal'!$E$94*$X$17+'Treatment &amp; Disposal'!$E$95*$Y$17+'Treatment &amp; Disposal'!$E$96*$Z$17+'Treatment &amp; Disposal'!$E$97*$W$17</f>
        <v>0</v>
      </c>
      <c r="W121" s="185">
        <f>+'Treatment &amp; Disposal'!$G$94*$X$17+'Treatment &amp; Disposal'!$G$95*$Y$17+'Treatment &amp; Disposal'!$G$96*$Z$17+'Treatment &amp; Disposal'!$G$97*$W$17</f>
        <v>0</v>
      </c>
      <c r="X121" s="185">
        <f>+'Treatment &amp; Disposal'!$H$94*$X$17+'Treatment &amp; Disposal'!$H$95*$Y$17+'Treatment &amp; Disposal'!$H$96*$Z$17+'Treatment &amp; Disposal'!$H$97*$W$17</f>
        <v>0</v>
      </c>
      <c r="Y121" s="185">
        <f>+'Treatment &amp; Disposal'!$I$94*$X$17+'Treatment &amp; Disposal'!$I$95*$Y$17+'Treatment &amp; Disposal'!$I$96*$Z$17+'Treatment &amp; Disposal'!$I$97*$W$17</f>
        <v>0</v>
      </c>
      <c r="Z121" s="125" t="s">
        <v>764</v>
      </c>
      <c r="AA121" s="392"/>
      <c r="AC121" s="125"/>
      <c r="AD121" s="402"/>
      <c r="AE121" s="125"/>
      <c r="AF121" s="125"/>
      <c r="AG121" s="125"/>
      <c r="AH121" s="392"/>
      <c r="AJ121" s="97"/>
      <c r="AK121" s="97"/>
      <c r="AL121" s="97"/>
      <c r="AM121" s="97"/>
      <c r="AN121" s="97"/>
      <c r="AO121" s="97"/>
    </row>
    <row r="122" spans="1:41">
      <c r="B122" s="171" t="s">
        <v>77</v>
      </c>
      <c r="D122" s="121" t="str">
        <f>+Recycling!$E$9</f>
        <v>Status Quo</v>
      </c>
      <c r="E122" s="121" t="str">
        <f>+Recycling!$G$9</f>
        <v>Scenario 1</v>
      </c>
      <c r="F122" s="121" t="str">
        <f>+Recycling!$H$9</f>
        <v>Scenario 2</v>
      </c>
      <c r="G122" s="121" t="str">
        <f>+Recycling!$I$9</f>
        <v>Scenario 3</v>
      </c>
      <c r="S122" s="123" t="s">
        <v>833</v>
      </c>
      <c r="T122" s="125">
        <f>+$T$105</f>
        <v>9200</v>
      </c>
      <c r="U122" s="125" t="s">
        <v>834</v>
      </c>
      <c r="V122" s="452">
        <f>$T$122/3.6*'Treatment &amp; Disposal'!$E$98*((0.1*$U$4/1000)+(0.3*$U$7/1000))</f>
        <v>0</v>
      </c>
      <c r="W122" s="452">
        <f>$T$122/3.6*'Treatment &amp; Disposal'!$G$98*((0.1*$U$4/1000)+(0.3*$U$7/1000))</f>
        <v>0</v>
      </c>
      <c r="X122" s="452">
        <f>$T$122/3.6*'Treatment &amp; Disposal'!$H$98*((0.1*$U$4/1000)+(0.3*$U$7/1000))</f>
        <v>0</v>
      </c>
      <c r="Y122" s="452">
        <f>$T$122/3.6*'Treatment &amp; Disposal'!$I$98*((0.1*$U$4/1000)+(0.3*$U$7/1000))</f>
        <v>0</v>
      </c>
      <c r="Z122" s="125" t="s">
        <v>764</v>
      </c>
      <c r="AA122" s="392"/>
      <c r="AC122" s="125"/>
      <c r="AD122" s="402"/>
      <c r="AE122" s="125"/>
      <c r="AF122" s="125"/>
      <c r="AG122" s="125"/>
      <c r="AH122" s="392"/>
      <c r="AJ122" s="97"/>
      <c r="AK122" s="97"/>
      <c r="AL122" s="97"/>
      <c r="AM122" s="97"/>
      <c r="AN122" s="97"/>
      <c r="AO122" s="97"/>
    </row>
    <row r="123" spans="1:41">
      <c r="B123" s="131" t="s">
        <v>163</v>
      </c>
      <c r="D123" s="159" t="e">
        <f>+((D101+D102)*$C$31+D103*$C$33+D104*$C$34+D105*$C$35+(D106+D107)*$C$36+(D108+D109+D110)*$C$37+D111*$C$38+D112*$C$39)*Start!$E$57</f>
        <v>#DIV/0!</v>
      </c>
      <c r="E123" s="159" t="e">
        <f>+((E101+E102)*$C$31+E103*$C$33+E104*$C$34+E105*$C$35+(E106+E107)*$C$36+(E108+E109+E110)*$C$37+E111*$C$38+E112*$C$39)*Start!$E$57</f>
        <v>#DIV/0!</v>
      </c>
      <c r="F123" s="159" t="e">
        <f>+((F101+F102)*$C$31+F103*$C$33+F104*$C$34+F105*$C$35+(F106+F107)*$C$36+(F108+F109+F110)*$C$37+F111*$C$38+F112*$C$39)*Start!$E$57</f>
        <v>#DIV/0!</v>
      </c>
      <c r="G123" s="159" t="e">
        <f>+((G101+G102)*$C$31+G103*$C$33+G104*$C$34+G105*$C$35+(G106+G107)*$C$36+(G108+G109+G110)*$C$37+G111*$C$38+G112*$C$39)*Start!$E$57</f>
        <v>#DIV/0!</v>
      </c>
      <c r="H123" s="125" t="s">
        <v>73</v>
      </c>
      <c r="S123" s="123" t="s">
        <v>835</v>
      </c>
      <c r="V123" s="452">
        <f>'Treatment &amp; Disposal'!$E$113*1000/3.6*'Treatment &amp; Disposal'!$E$99*((0.1*$U$4/1000)+(0.3*$U$7/1000))</f>
        <v>0</v>
      </c>
      <c r="W123" s="452">
        <f>'Treatment &amp; Disposal'!$G$113*1000/3.6*'Treatment &amp; Disposal'!$G$99*((0.1*$U$4/1000)+(0.3*$U$7/1000))</f>
        <v>0</v>
      </c>
      <c r="X123" s="452">
        <f>'Treatment &amp; Disposal'!$H$113*1000/3.6*'Treatment &amp; Disposal'!$H$99*((0.1*$U$4/1000)+(0.3*$U$7/1000))</f>
        <v>0</v>
      </c>
      <c r="Y123" s="452">
        <f>'Treatment &amp; Disposal'!$I$113*1000/3.6*'Treatment &amp; Disposal'!$I$99*((0.1*$U$4/1000)+(0.3*$U$7/1000))</f>
        <v>0</v>
      </c>
      <c r="Z123" s="125" t="s">
        <v>764</v>
      </c>
      <c r="AA123" s="392"/>
      <c r="AC123" s="125"/>
      <c r="AD123" s="402"/>
      <c r="AE123" s="125"/>
      <c r="AF123" s="125"/>
      <c r="AG123" s="125"/>
      <c r="AH123" s="392"/>
      <c r="AJ123" s="97"/>
      <c r="AK123" s="97"/>
      <c r="AL123" s="97"/>
      <c r="AM123" s="97"/>
      <c r="AN123" s="97"/>
      <c r="AO123" s="97"/>
    </row>
    <row r="124" spans="1:41">
      <c r="B124" s="131" t="s">
        <v>164</v>
      </c>
      <c r="D124" s="159" t="e">
        <f>+((D101+D102)*$C$32+D103*$C$33+D104*$C$34+D105*$C$35+(D106+D107)*$C$36+(D108+D109+D110)*$C$37+D111*$C$38+D112*$C$39)*Start!$E$58</f>
        <v>#DIV/0!</v>
      </c>
      <c r="E124" s="159" t="e">
        <f>+((E101+E102)*$C$32+E103*$C$33+E104*$C$34+E105*$C$35+(E106+E107)*$C$36+(E108+E109+E110)*$C$37+E111*$C$38+E112*$C$39)*Start!$E$58</f>
        <v>#DIV/0!</v>
      </c>
      <c r="F124" s="159" t="e">
        <f>+((F101+F102)*$C$32+F103*$C$33+F104*$C$34+F105*$C$35+(F106+F107)*$C$36+(F108+F109+F110)*$C$37+F111*$C$38+F112*$C$39)*Start!$E$58</f>
        <v>#DIV/0!</v>
      </c>
      <c r="G124" s="159" t="e">
        <f>+((G101+G102)*$C$32+G103*$C$33+G104*$C$34+G105*$C$35+(G106+G107)*$C$36+(G108+G109+G110)*$C$37+G111*$C$38+G112*$C$39)*Start!$E$58</f>
        <v>#DIV/0!</v>
      </c>
      <c r="H124" s="125" t="s">
        <v>73</v>
      </c>
      <c r="S124" s="123" t="s">
        <v>838</v>
      </c>
      <c r="T124" s="123"/>
      <c r="U124" s="186"/>
      <c r="V124" s="452">
        <f>'Treatment &amp; Disposal'!$E$113*1000/3.6*'Treatment &amp; Disposal'!$E$100*$U$8/1000</f>
        <v>0</v>
      </c>
      <c r="W124" s="452">
        <f>'Treatment &amp; Disposal'!$G$113*1000/3.6*'Treatment &amp; Disposal'!$G$100*$U$8/1000</f>
        <v>0</v>
      </c>
      <c r="X124" s="452">
        <f>'Treatment &amp; Disposal'!$H$113*1000/3.6*'Treatment &amp; Disposal'!$H$100*$U$8/1000</f>
        <v>0</v>
      </c>
      <c r="Y124" s="452">
        <f>'Treatment &amp; Disposal'!$I$113*1000/3.6*'Treatment &amp; Disposal'!$I$100*$U$8/1000</f>
        <v>0</v>
      </c>
      <c r="Z124" s="186" t="s">
        <v>764</v>
      </c>
      <c r="AA124" s="392"/>
      <c r="AC124" s="125"/>
      <c r="AD124" s="402"/>
      <c r="AE124" s="125"/>
      <c r="AF124" s="125"/>
      <c r="AG124" s="125"/>
      <c r="AH124" s="392"/>
      <c r="AJ124" s="97"/>
      <c r="AK124" s="97"/>
      <c r="AL124" s="97"/>
      <c r="AM124" s="97"/>
      <c r="AN124" s="97"/>
      <c r="AO124" s="97"/>
    </row>
    <row r="125" spans="1:41">
      <c r="S125" s="124" t="s">
        <v>887</v>
      </c>
      <c r="T125" s="123"/>
      <c r="U125" s="186"/>
      <c r="V125" s="452"/>
      <c r="W125" s="452"/>
      <c r="X125" s="452"/>
      <c r="Y125" s="453"/>
      <c r="Z125" s="186" t="s">
        <v>764</v>
      </c>
      <c r="AA125" s="392"/>
      <c r="AC125" s="125"/>
      <c r="AD125" s="402"/>
      <c r="AE125" s="125"/>
      <c r="AF125" s="125"/>
      <c r="AG125" s="125"/>
      <c r="AH125" s="392"/>
      <c r="AJ125" s="97"/>
      <c r="AK125" s="97"/>
      <c r="AL125" s="97"/>
      <c r="AM125" s="97"/>
      <c r="AN125" s="97"/>
      <c r="AO125" s="97"/>
    </row>
    <row r="126" spans="1:41">
      <c r="S126" s="123" t="s">
        <v>841</v>
      </c>
      <c r="T126" s="455">
        <f>40.57*0.6</f>
        <v>24.341999999999999</v>
      </c>
      <c r="U126" s="456" t="s">
        <v>842</v>
      </c>
      <c r="V126" s="185">
        <f>+$T$126*'Treatment &amp; Disposal'!$E$104/'Treatment &amp; Disposal'!$C$104</f>
        <v>0</v>
      </c>
      <c r="W126" s="185">
        <f>+$T$126*'Treatment &amp; Disposal'!$G$104/'Treatment &amp; Disposal'!$C$104</f>
        <v>0</v>
      </c>
      <c r="X126" s="185">
        <f>+$T$126*'Treatment &amp; Disposal'!$H$104/'Treatment &amp; Disposal'!$C$104</f>
        <v>0</v>
      </c>
      <c r="Y126" s="457">
        <f>+$T$126*'Treatment &amp; Disposal'!$I$104/'Treatment &amp; Disposal'!$C$104</f>
        <v>0</v>
      </c>
      <c r="Z126" s="186" t="s">
        <v>789</v>
      </c>
      <c r="AA126" s="392"/>
      <c r="AC126" s="125"/>
      <c r="AD126" s="402"/>
      <c r="AE126" s="125"/>
      <c r="AF126" s="125"/>
      <c r="AG126" s="125"/>
      <c r="AH126" s="392"/>
      <c r="AJ126" s="97"/>
      <c r="AK126" s="97"/>
      <c r="AL126" s="97"/>
      <c r="AM126" s="97"/>
      <c r="AN126" s="97"/>
      <c r="AO126" s="97"/>
    </row>
    <row r="127" spans="1:41">
      <c r="S127" s="141" t="s">
        <v>787</v>
      </c>
      <c r="V127" s="185">
        <f>+V126*'Treatment &amp; Disposal'!$E$107</f>
        <v>0</v>
      </c>
      <c r="W127" s="185">
        <f>+W126*'Treatment &amp; Disposal'!$G$107</f>
        <v>0</v>
      </c>
      <c r="X127" s="185">
        <f>+X126*'Treatment &amp; Disposal'!$H$107</f>
        <v>0</v>
      </c>
      <c r="Y127" s="185">
        <f>+Y126*'Treatment &amp; Disposal'!$I$107</f>
        <v>0</v>
      </c>
      <c r="Z127" s="125" t="s">
        <v>789</v>
      </c>
      <c r="AA127" s="392"/>
      <c r="AC127" s="125"/>
      <c r="AD127" s="402"/>
      <c r="AE127" s="125"/>
      <c r="AF127" s="125"/>
      <c r="AG127" s="125"/>
      <c r="AH127" s="392"/>
      <c r="AJ127" s="97"/>
      <c r="AK127" s="97"/>
      <c r="AL127" s="97"/>
      <c r="AM127" s="97"/>
      <c r="AN127" s="97"/>
      <c r="AO127" s="97"/>
    </row>
    <row r="128" spans="1:41">
      <c r="S128" s="141" t="s">
        <v>788</v>
      </c>
      <c r="V128" s="185">
        <f>+V126*'Treatment &amp; Disposal'!$E$108</f>
        <v>0</v>
      </c>
      <c r="W128" s="185">
        <f>+W126*'Treatment &amp; Disposal'!$G$108</f>
        <v>0</v>
      </c>
      <c r="X128" s="185">
        <f>+X126*'Treatment &amp; Disposal'!$H$108</f>
        <v>0</v>
      </c>
      <c r="Y128" s="185">
        <f>+Y126*'Treatment &amp; Disposal'!$I$108</f>
        <v>0</v>
      </c>
      <c r="Z128" s="125" t="s">
        <v>789</v>
      </c>
      <c r="AA128" s="392"/>
      <c r="AC128" s="125"/>
      <c r="AD128" s="402"/>
      <c r="AE128" s="125"/>
      <c r="AF128" s="125"/>
      <c r="AG128" s="125"/>
      <c r="AH128" s="392"/>
      <c r="AJ128" s="97"/>
      <c r="AK128" s="97"/>
      <c r="AL128" s="97"/>
      <c r="AM128" s="97"/>
      <c r="AN128" s="97"/>
      <c r="AO128" s="97"/>
    </row>
    <row r="129" spans="19:41">
      <c r="S129" s="661" t="s">
        <v>972</v>
      </c>
      <c r="T129" s="660">
        <f>+$T$36</f>
        <v>0.35</v>
      </c>
      <c r="U129" s="144"/>
      <c r="V129" s="665">
        <f>+V127*$T$129*$E$7*$U$4/1000</f>
        <v>0</v>
      </c>
      <c r="W129" s="665">
        <f>+W127*$T$129*$E$7*$U$4/1000</f>
        <v>0</v>
      </c>
      <c r="X129" s="665">
        <f>+X127*$T$129*$E$7*$U$4/1000</f>
        <v>0</v>
      </c>
      <c r="Y129" s="665">
        <f>+Y127*$T$129*$E$7*$U$4/1000</f>
        <v>0</v>
      </c>
      <c r="Z129" s="144" t="s">
        <v>784</v>
      </c>
      <c r="AA129" s="429"/>
      <c r="AC129" s="125"/>
      <c r="AD129" s="402"/>
      <c r="AE129" s="125"/>
      <c r="AF129" s="125"/>
      <c r="AG129" s="125"/>
      <c r="AH129" s="392"/>
      <c r="AJ129" s="97"/>
      <c r="AK129" s="97"/>
      <c r="AL129" s="97"/>
      <c r="AM129" s="97"/>
      <c r="AN129" s="97"/>
      <c r="AO129" s="97"/>
    </row>
    <row r="130" spans="19:41">
      <c r="S130" s="125" t="s">
        <v>782</v>
      </c>
      <c r="T130" s="125">
        <f>+$T$37</f>
        <v>0.3</v>
      </c>
      <c r="U130" s="125" t="s">
        <v>783</v>
      </c>
      <c r="V130" s="185">
        <f>+V128/0.6*$T$130*$U$4/1000</f>
        <v>0</v>
      </c>
      <c r="W130" s="185">
        <f>+W128/0.6*$T$130*$U$4/1000</f>
        <v>0</v>
      </c>
      <c r="X130" s="185">
        <f>+X128/0.6*$T$130*$U$4/1000</f>
        <v>0</v>
      </c>
      <c r="Y130" s="185">
        <f>+Y128/0.6*$T$130*$U$4/1000</f>
        <v>0</v>
      </c>
      <c r="Z130" s="125" t="s">
        <v>764</v>
      </c>
      <c r="AA130" s="426"/>
      <c r="AC130" s="125"/>
      <c r="AD130" s="402"/>
      <c r="AE130" s="125"/>
      <c r="AF130" s="125"/>
      <c r="AG130" s="125"/>
      <c r="AH130" s="392"/>
      <c r="AJ130" s="97"/>
      <c r="AK130" s="97"/>
      <c r="AL130" s="97"/>
      <c r="AM130" s="97"/>
      <c r="AN130" s="97"/>
      <c r="AO130" s="97"/>
    </row>
    <row r="131" spans="19:41">
      <c r="S131" s="125" t="s">
        <v>786</v>
      </c>
      <c r="T131" s="431">
        <f>+$T$38</f>
        <v>0.05</v>
      </c>
      <c r="V131" s="185">
        <f>+V128*$T$131*$C$6</f>
        <v>0</v>
      </c>
      <c r="W131" s="185">
        <f>+W128*$T$131*$C$6</f>
        <v>0</v>
      </c>
      <c r="X131" s="185">
        <f>+X128*$T$131*$C$6</f>
        <v>0</v>
      </c>
      <c r="Y131" s="185">
        <f>+Y128*$T$131*$C$6</f>
        <v>0</v>
      </c>
      <c r="Z131" s="125" t="s">
        <v>756</v>
      </c>
      <c r="AA131" s="424"/>
      <c r="AC131" s="125"/>
      <c r="AD131" s="402"/>
      <c r="AE131" s="125"/>
      <c r="AF131" s="125"/>
      <c r="AG131" s="125"/>
      <c r="AH131" s="392"/>
      <c r="AJ131" s="97"/>
      <c r="AK131" s="97"/>
      <c r="AL131" s="97"/>
      <c r="AM131" s="97"/>
      <c r="AN131" s="97"/>
      <c r="AO131" s="97"/>
    </row>
    <row r="132" spans="19:41">
      <c r="S132" s="669" t="s">
        <v>973</v>
      </c>
      <c r="T132" s="670"/>
      <c r="U132" s="671"/>
      <c r="V132" s="665">
        <f>V128*(1-$T$131)*$E$7*$U$6/1000</f>
        <v>0</v>
      </c>
      <c r="W132" s="665">
        <f>W128*(1-$T$131)*$E$7*$U$6/1000</f>
        <v>0</v>
      </c>
      <c r="X132" s="665">
        <f>X128*(1-$T$131)*$E$7*$U$6/1000</f>
        <v>0</v>
      </c>
      <c r="Y132" s="665">
        <f>Y128*(1-$T$131)*$E$7*$U$6/1000</f>
        <v>0</v>
      </c>
      <c r="Z132" s="671" t="s">
        <v>784</v>
      </c>
      <c r="AA132" s="392"/>
      <c r="AC132" s="125"/>
      <c r="AD132" s="402"/>
      <c r="AE132" s="125"/>
      <c r="AF132" s="125"/>
      <c r="AG132" s="125"/>
      <c r="AH132" s="392"/>
      <c r="AJ132" s="97"/>
      <c r="AK132" s="97"/>
      <c r="AL132" s="97"/>
      <c r="AM132" s="97"/>
      <c r="AN132" s="97"/>
      <c r="AO132" s="97"/>
    </row>
    <row r="133" spans="19:41">
      <c r="S133" s="666" t="s">
        <v>843</v>
      </c>
      <c r="T133" s="144"/>
      <c r="U133" s="144"/>
      <c r="V133" s="672">
        <f>SUM(V121:V125)+V129+V132</f>
        <v>0</v>
      </c>
      <c r="W133" s="672">
        <f>SUM(W121:W125)+W129+W132</f>
        <v>0</v>
      </c>
      <c r="X133" s="672">
        <f>SUM(X121:X125)+X129+X132</f>
        <v>0</v>
      </c>
      <c r="Y133" s="672">
        <f>SUM(Y121:Y125)+Y129+Y132</f>
        <v>0</v>
      </c>
      <c r="Z133" s="666" t="s">
        <v>798</v>
      </c>
      <c r="AA133" s="429"/>
      <c r="AC133" s="125"/>
      <c r="AD133" s="402"/>
      <c r="AE133" s="125"/>
      <c r="AF133" s="125"/>
      <c r="AG133" s="125"/>
      <c r="AH133" s="392"/>
      <c r="AJ133" s="97"/>
      <c r="AK133" s="97"/>
      <c r="AL133" s="97"/>
      <c r="AM133" s="97"/>
      <c r="AN133" s="97"/>
      <c r="AO133" s="97"/>
    </row>
    <row r="134" spans="19:41">
      <c r="S134" s="178"/>
      <c r="T134" s="142"/>
      <c r="U134" s="142"/>
      <c r="V134" s="187"/>
      <c r="W134" s="187"/>
      <c r="X134" s="187"/>
      <c r="Y134" s="187"/>
      <c r="Z134" s="178"/>
      <c r="AA134" s="429"/>
      <c r="AC134" s="125"/>
      <c r="AD134" s="402"/>
      <c r="AE134" s="125"/>
      <c r="AF134" s="125"/>
      <c r="AG134" s="125"/>
      <c r="AH134" s="392"/>
      <c r="AJ134" s="97"/>
      <c r="AK134" s="97"/>
      <c r="AL134" s="97"/>
      <c r="AM134" s="97"/>
      <c r="AN134" s="97"/>
      <c r="AO134" s="97"/>
    </row>
    <row r="135" spans="19:41">
      <c r="S135" s="121" t="str">
        <f>+'Treatment &amp; Disposal'!$B$18</f>
        <v>MBS + further treatment</v>
      </c>
      <c r="T135" s="142"/>
      <c r="U135" s="142"/>
      <c r="V135" s="187"/>
      <c r="W135" s="187"/>
      <c r="X135" s="187"/>
      <c r="Y135" s="187"/>
      <c r="Z135" s="178"/>
      <c r="AA135" s="429"/>
      <c r="AC135" s="125"/>
      <c r="AD135" s="402"/>
      <c r="AE135" s="125"/>
      <c r="AF135" s="125"/>
      <c r="AG135" s="125"/>
      <c r="AH135" s="392"/>
      <c r="AJ135" s="97"/>
      <c r="AK135" s="97"/>
      <c r="AL135" s="97"/>
      <c r="AM135" s="97"/>
      <c r="AN135" s="97"/>
      <c r="AO135" s="97"/>
    </row>
    <row r="136" spans="19:41">
      <c r="S136" s="125" t="s">
        <v>827</v>
      </c>
      <c r="V136" s="757">
        <f>+Factors!$C$72</f>
        <v>2</v>
      </c>
      <c r="W136" s="758"/>
      <c r="X136" s="758"/>
      <c r="Y136" s="759"/>
      <c r="Z136" s="125" t="s">
        <v>756</v>
      </c>
      <c r="AA136" s="424"/>
      <c r="AC136" s="125"/>
      <c r="AD136" s="402"/>
      <c r="AE136" s="125"/>
      <c r="AF136" s="125"/>
      <c r="AG136" s="125"/>
      <c r="AH136" s="392"/>
      <c r="AJ136" s="97"/>
      <c r="AK136" s="97"/>
      <c r="AL136" s="97"/>
      <c r="AM136" s="97"/>
      <c r="AN136" s="97"/>
      <c r="AO136" s="97"/>
    </row>
    <row r="137" spans="19:41">
      <c r="S137" s="122" t="s">
        <v>828</v>
      </c>
      <c r="V137" s="754">
        <f>+Factors!$D$72</f>
        <v>0.12</v>
      </c>
      <c r="W137" s="755"/>
      <c r="X137" s="755"/>
      <c r="Y137" s="756"/>
      <c r="Z137" s="125" t="s">
        <v>759</v>
      </c>
      <c r="AA137" s="424"/>
      <c r="AC137" s="125"/>
      <c r="AD137" s="402"/>
      <c r="AE137" s="125"/>
      <c r="AF137" s="125"/>
      <c r="AG137" s="125"/>
      <c r="AH137" s="392"/>
      <c r="AJ137" s="97"/>
      <c r="AK137" s="97"/>
      <c r="AL137" s="97"/>
      <c r="AM137" s="97"/>
      <c r="AN137" s="97"/>
      <c r="AO137" s="97"/>
    </row>
    <row r="138" spans="19:41">
      <c r="S138" s="122" t="s">
        <v>748</v>
      </c>
      <c r="T138" s="427">
        <v>8</v>
      </c>
      <c r="U138" s="125" t="s">
        <v>3</v>
      </c>
      <c r="V138" s="747">
        <f>T138*$U$5/1000</f>
        <v>2.14137216</v>
      </c>
      <c r="W138" s="748"/>
      <c r="X138" s="748"/>
      <c r="Y138" s="749"/>
      <c r="Z138" s="125" t="s">
        <v>764</v>
      </c>
      <c r="AA138" s="426"/>
      <c r="AC138" s="125"/>
      <c r="AD138" s="402"/>
      <c r="AE138" s="125"/>
      <c r="AF138" s="125"/>
      <c r="AG138" s="125"/>
      <c r="AH138" s="392"/>
      <c r="AJ138" s="97"/>
      <c r="AK138" s="97"/>
      <c r="AL138" s="97"/>
      <c r="AM138" s="97"/>
      <c r="AN138" s="97"/>
      <c r="AO138" s="97"/>
    </row>
    <row r="139" spans="19:41">
      <c r="S139" s="122" t="s">
        <v>747</v>
      </c>
      <c r="T139" s="125">
        <v>60.9</v>
      </c>
      <c r="U139" s="125" t="s">
        <v>3</v>
      </c>
      <c r="V139" s="747">
        <f>T139*$U$4/1000</f>
        <v>0</v>
      </c>
      <c r="W139" s="748"/>
      <c r="X139" s="748"/>
      <c r="Y139" s="749"/>
      <c r="Z139" s="125" t="s">
        <v>764</v>
      </c>
      <c r="AA139" s="426"/>
      <c r="AC139" s="125"/>
      <c r="AD139" s="402"/>
      <c r="AE139" s="125"/>
      <c r="AF139" s="125"/>
      <c r="AG139" s="125"/>
      <c r="AH139" s="392"/>
      <c r="AJ139" s="97"/>
      <c r="AK139" s="97"/>
      <c r="AL139" s="97"/>
      <c r="AM139" s="97"/>
      <c r="AN139" s="97"/>
      <c r="AO139" s="97"/>
    </row>
    <row r="140" spans="19:41">
      <c r="S140" s="123" t="s">
        <v>885</v>
      </c>
      <c r="T140" s="124"/>
      <c r="U140" s="124"/>
      <c r="V140" s="176">
        <f>+'Treatment &amp; Disposal'!$E$117*$X$16+'Treatment &amp; Disposal'!$E$118*$Y$16+'Treatment &amp; Disposal'!$E$119*$Z$16+'Treatment &amp; Disposal'!$E$120*$W$16</f>
        <v>0</v>
      </c>
      <c r="W140" s="176">
        <f>+'Treatment &amp; Disposal'!$G$117*$X$16+'Treatment &amp; Disposal'!$G$118*$Y$16+'Treatment &amp; Disposal'!$G$119*$Z$16+'Treatment &amp; Disposal'!$G$120*$W$16</f>
        <v>0</v>
      </c>
      <c r="X140" s="176">
        <f>+'Treatment &amp; Disposal'!$H$117*$X$16+'Treatment &amp; Disposal'!$H$118*$Y$16+'Treatment &amp; Disposal'!$H$119*$Z$16+'Treatment &amp; Disposal'!$H$120*$W$16</f>
        <v>0</v>
      </c>
      <c r="Y140" s="176">
        <f>+'Treatment &amp; Disposal'!$I$117*$X$16+'Treatment &amp; Disposal'!$I$118*$Y$16+'Treatment &amp; Disposal'!$I$119*$Z$16+'Treatment &amp; Disposal'!$I$120*$W$16</f>
        <v>0</v>
      </c>
      <c r="Z140" s="97" t="s">
        <v>764</v>
      </c>
      <c r="AA140" s="426"/>
      <c r="AC140" s="125"/>
      <c r="AD140" s="402"/>
      <c r="AE140" s="125"/>
      <c r="AF140" s="125"/>
      <c r="AG140" s="125"/>
      <c r="AH140" s="392"/>
      <c r="AJ140" s="97"/>
      <c r="AK140" s="97"/>
      <c r="AL140" s="97"/>
      <c r="AM140" s="97"/>
      <c r="AN140" s="97"/>
      <c r="AO140" s="97"/>
    </row>
    <row r="141" spans="19:41">
      <c r="S141" s="123" t="s">
        <v>831</v>
      </c>
      <c r="T141" s="449">
        <v>0.09</v>
      </c>
      <c r="U141" s="123"/>
      <c r="V141" s="185">
        <f>+'Treatment &amp; Disposal'!$E$121*$T$141*1000*44/12</f>
        <v>0</v>
      </c>
      <c r="W141" s="185">
        <f>+'Treatment &amp; Disposal'!$G$121*$T$141*1000*44/12</f>
        <v>0</v>
      </c>
      <c r="X141" s="185">
        <f>+'Treatment &amp; Disposal'!$H$121*$T$141*1000*44/12</f>
        <v>0</v>
      </c>
      <c r="Y141" s="185">
        <f>+'Treatment &amp; Disposal'!$I$121*$T$141*1000*44/12</f>
        <v>0</v>
      </c>
      <c r="Z141" s="125" t="s">
        <v>103</v>
      </c>
      <c r="AA141" s="424"/>
      <c r="AC141" s="125"/>
      <c r="AD141" s="402"/>
      <c r="AE141" s="125"/>
      <c r="AF141" s="125"/>
      <c r="AG141" s="125"/>
      <c r="AH141" s="392"/>
      <c r="AJ141" s="97"/>
      <c r="AK141" s="97"/>
      <c r="AL141" s="97"/>
      <c r="AM141" s="97"/>
      <c r="AN141" s="97"/>
      <c r="AO141" s="97"/>
    </row>
    <row r="142" spans="19:41">
      <c r="S142" s="124" t="s">
        <v>832</v>
      </c>
      <c r="V142" s="185">
        <f>('Treatment &amp; Disposal'!$E$122+'Treatment &amp; Disposal'!$E$123)*'Treatment &amp; Disposal'!$E$130*1000*44/12</f>
        <v>0</v>
      </c>
      <c r="W142" s="185">
        <f>('Treatment &amp; Disposal'!$G$122+'Treatment &amp; Disposal'!$G$123)*'Treatment &amp; Disposal'!$G$130*1000*44/12</f>
        <v>0</v>
      </c>
      <c r="X142" s="185">
        <f>('Treatment &amp; Disposal'!$H$122+'Treatment &amp; Disposal'!$H$123)*'Treatment &amp; Disposal'!$H$130*1000*44/12</f>
        <v>0</v>
      </c>
      <c r="Y142" s="185">
        <f>('Treatment &amp; Disposal'!$I$122+'Treatment &amp; Disposal'!$I$123)*'Treatment &amp; Disposal'!$I$130*1000*44/12</f>
        <v>0</v>
      </c>
      <c r="Z142" s="125" t="s">
        <v>103</v>
      </c>
      <c r="AA142" s="424"/>
      <c r="AC142" s="125"/>
      <c r="AD142" s="402"/>
      <c r="AE142" s="125"/>
      <c r="AF142" s="125"/>
      <c r="AG142" s="125"/>
      <c r="AH142" s="392"/>
      <c r="AJ142" s="97"/>
      <c r="AK142" s="97"/>
      <c r="AL142" s="97"/>
      <c r="AM142" s="97"/>
      <c r="AN142" s="97"/>
      <c r="AO142" s="97"/>
    </row>
    <row r="143" spans="19:41">
      <c r="S143" s="124" t="s">
        <v>888</v>
      </c>
      <c r="V143" s="185"/>
      <c r="W143" s="185"/>
      <c r="X143" s="185"/>
      <c r="Y143" s="185"/>
      <c r="Z143" s="125" t="s">
        <v>764</v>
      </c>
      <c r="AA143" s="426"/>
      <c r="AC143" s="125"/>
      <c r="AD143" s="402"/>
      <c r="AE143" s="125"/>
      <c r="AF143" s="125"/>
      <c r="AG143" s="125"/>
      <c r="AH143" s="392"/>
      <c r="AJ143" s="97"/>
      <c r="AK143" s="97"/>
      <c r="AL143" s="97"/>
      <c r="AM143" s="97"/>
      <c r="AN143" s="97"/>
      <c r="AO143" s="97"/>
    </row>
    <row r="144" spans="19:41">
      <c r="S144" s="667" t="s">
        <v>509</v>
      </c>
      <c r="T144" s="123"/>
      <c r="U144" s="123"/>
      <c r="V144" s="123"/>
      <c r="W144" s="123"/>
      <c r="X144" s="123"/>
      <c r="Y144" s="123"/>
      <c r="Z144" s="123"/>
      <c r="AA144" s="392"/>
      <c r="AC144" s="125"/>
      <c r="AD144" s="402"/>
      <c r="AE144" s="125"/>
      <c r="AF144" s="125"/>
      <c r="AG144" s="125"/>
      <c r="AH144" s="392"/>
      <c r="AJ144" s="97"/>
      <c r="AK144" s="97"/>
      <c r="AL144" s="97"/>
      <c r="AM144" s="97"/>
      <c r="AN144" s="97"/>
      <c r="AO144" s="97"/>
    </row>
    <row r="145" spans="9:41">
      <c r="S145" s="123" t="s">
        <v>886</v>
      </c>
      <c r="T145" s="123"/>
      <c r="U145" s="123"/>
      <c r="V145" s="130">
        <f>+'Treatment &amp; Disposal'!$E$117*$X$17+'Treatment &amp; Disposal'!$E$118*$Y$17+'Treatment &amp; Disposal'!$E$119*$Z$17+'Treatment &amp; Disposal'!$E$120*$W$17</f>
        <v>0</v>
      </c>
      <c r="W145" s="130">
        <f>+'Treatment &amp; Disposal'!$G$117*$X$17+'Treatment &amp; Disposal'!$G$118*$Y$17+'Treatment &amp; Disposal'!$G$119*$Z$17+'Treatment &amp; Disposal'!$G$120*$W$17</f>
        <v>0</v>
      </c>
      <c r="X145" s="130">
        <f>+'Treatment &amp; Disposal'!$H$117*$X$17+'Treatment &amp; Disposal'!$H$118*$Y$17+'Treatment &amp; Disposal'!$H$119*$Z$17+'Treatment &amp; Disposal'!$H$120*$W$17</f>
        <v>0</v>
      </c>
      <c r="Y145" s="130">
        <f>+'Treatment &amp; Disposal'!$I$117*$X$17+'Treatment &amp; Disposal'!$I$118*$Y$17+'Treatment &amp; Disposal'!$I$119*$Z$17+'Treatment &amp; Disposal'!$I$120*$W$17</f>
        <v>0</v>
      </c>
      <c r="Z145" s="125" t="s">
        <v>764</v>
      </c>
      <c r="AA145" s="392"/>
      <c r="AC145" s="125"/>
      <c r="AD145" s="402"/>
      <c r="AE145" s="125"/>
      <c r="AF145" s="125"/>
      <c r="AG145" s="125"/>
      <c r="AH145" s="392"/>
      <c r="AJ145" s="97"/>
      <c r="AK145" s="97"/>
      <c r="AL145" s="97"/>
      <c r="AM145" s="97"/>
      <c r="AN145" s="97"/>
      <c r="AO145" s="97"/>
    </row>
    <row r="146" spans="9:41">
      <c r="S146" s="123" t="s">
        <v>833</v>
      </c>
      <c r="T146" s="125">
        <v>9200</v>
      </c>
      <c r="U146" s="125" t="s">
        <v>834</v>
      </c>
      <c r="V146" s="452">
        <f>$T$146/3.6*'Treatment &amp; Disposal'!$E$121*((0.1*$U$4/1000)+(0.3*$U$7/1000))</f>
        <v>0</v>
      </c>
      <c r="W146" s="452">
        <f>$T$105/3.6*'Treatment &amp; Disposal'!$G$121*((0.1*$U$4/1000)+(0.3*$U$7/1000))</f>
        <v>0</v>
      </c>
      <c r="X146" s="452">
        <f>$T$105/3.6*'Treatment &amp; Disposal'!$H$121*((0.1*$U$4/1000)+(0.3*$U$7/1000))</f>
        <v>0</v>
      </c>
      <c r="Y146" s="452">
        <f>$T$105/3.6*'Treatment &amp; Disposal'!$I$121*((0.1*$U$4/1000)+(0.3*$U$7/1000))</f>
        <v>0</v>
      </c>
      <c r="Z146" s="125" t="s">
        <v>764</v>
      </c>
      <c r="AA146" s="392"/>
      <c r="AC146" s="125"/>
      <c r="AD146" s="402"/>
      <c r="AE146" s="125"/>
      <c r="AF146" s="125"/>
      <c r="AG146" s="125"/>
      <c r="AH146" s="392"/>
      <c r="AJ146" s="97"/>
      <c r="AK146" s="97"/>
      <c r="AL146" s="97"/>
      <c r="AM146" s="97"/>
      <c r="AN146" s="97"/>
      <c r="AO146" s="97"/>
    </row>
    <row r="147" spans="9:41">
      <c r="S147" s="123" t="s">
        <v>835</v>
      </c>
      <c r="V147" s="452">
        <f>'Treatment &amp; Disposal'!$E$131*1000/3.6*'Treatment &amp; Disposal'!$E$122*((0.1*$U$4/1000)+(0.3*$U$7/1000))</f>
        <v>0</v>
      </c>
      <c r="W147" s="452">
        <f>'Treatment &amp; Disposal'!$G$131*1000/3.6*'Treatment &amp; Disposal'!$G$122*((0.1*$U$4/1000)+(0.3*$U$7/1000))</f>
        <v>0</v>
      </c>
      <c r="X147" s="452">
        <f>'Treatment &amp; Disposal'!$H$131*1000/3.6*'Treatment &amp; Disposal'!$H$122*((0.1*$U$4/1000)+(0.3*$U$7/1000))</f>
        <v>0</v>
      </c>
      <c r="Y147" s="452">
        <f>'Treatment &amp; Disposal'!$I$131*1000/3.6*'Treatment &amp; Disposal'!$I$122*((0.1*$U$4/1000)+(0.3*$U$7/1000))</f>
        <v>0</v>
      </c>
      <c r="Z147" s="125" t="s">
        <v>764</v>
      </c>
      <c r="AA147" s="392"/>
      <c r="AC147" s="125"/>
      <c r="AD147" s="402"/>
      <c r="AE147" s="125"/>
      <c r="AF147" s="125"/>
      <c r="AG147" s="125"/>
      <c r="AH147" s="392"/>
      <c r="AJ147" s="97"/>
      <c r="AK147" s="97"/>
      <c r="AL147" s="97"/>
      <c r="AM147" s="97"/>
      <c r="AN147" s="97"/>
      <c r="AO147" s="97"/>
    </row>
    <row r="148" spans="9:41">
      <c r="S148" s="123" t="s">
        <v>838</v>
      </c>
      <c r="T148" s="123"/>
      <c r="U148" s="186"/>
      <c r="V148" s="452">
        <f>'Treatment &amp; Disposal'!$E$131*1000/3.6*'Treatment &amp; Disposal'!$E$123*$U$8/1000</f>
        <v>0</v>
      </c>
      <c r="W148" s="452">
        <f>'Treatment &amp; Disposal'!$G$131*1000/3.6*'Treatment &amp; Disposal'!$G$123*$U$8/1000</f>
        <v>0</v>
      </c>
      <c r="X148" s="452">
        <f>'Treatment &amp; Disposal'!$H$131*1000/3.6*'Treatment &amp; Disposal'!$H$123*$U$8/1000</f>
        <v>0</v>
      </c>
      <c r="Y148" s="452">
        <f>'Treatment &amp; Disposal'!$I$131*1000/3.6*'Treatment &amp; Disposal'!$I$123*$U$8/1000</f>
        <v>0</v>
      </c>
      <c r="Z148" s="186" t="s">
        <v>764</v>
      </c>
      <c r="AA148" s="392"/>
      <c r="AD148" s="423"/>
      <c r="AH148" s="458"/>
      <c r="AJ148" s="97"/>
      <c r="AK148" s="97"/>
      <c r="AL148" s="97"/>
      <c r="AM148" s="97"/>
      <c r="AN148" s="97"/>
      <c r="AO148" s="97"/>
    </row>
    <row r="149" spans="9:41">
      <c r="S149" s="124" t="s">
        <v>887</v>
      </c>
      <c r="T149" s="123"/>
      <c r="U149" s="123"/>
      <c r="V149" s="459"/>
      <c r="W149" s="459"/>
      <c r="X149" s="459"/>
      <c r="Y149" s="452"/>
      <c r="Z149" s="186" t="s">
        <v>764</v>
      </c>
      <c r="AA149" s="392"/>
      <c r="AC149" s="125"/>
      <c r="AD149" s="402"/>
      <c r="AE149" s="125"/>
      <c r="AF149" s="125"/>
      <c r="AG149" s="125"/>
      <c r="AH149" s="392"/>
      <c r="AJ149" s="97"/>
      <c r="AK149" s="97"/>
      <c r="AL149" s="97"/>
      <c r="AM149" s="97"/>
      <c r="AN149" s="97"/>
      <c r="AO149" s="97"/>
    </row>
    <row r="150" spans="9:41">
      <c r="S150" s="668" t="s">
        <v>939</v>
      </c>
      <c r="T150" s="673"/>
      <c r="U150" s="673"/>
      <c r="V150" s="665">
        <f>SUM(V145:V149)</f>
        <v>0</v>
      </c>
      <c r="W150" s="665">
        <f>SUM(W145:W149)</f>
        <v>0</v>
      </c>
      <c r="X150" s="665">
        <f>SUM(X145:X149)</f>
        <v>0</v>
      </c>
      <c r="Y150" s="665">
        <f>SUM(Y145:Y149)</f>
        <v>0</v>
      </c>
      <c r="Z150" s="668" t="s">
        <v>798</v>
      </c>
      <c r="AA150" s="392"/>
      <c r="AC150" s="125"/>
      <c r="AD150" s="402"/>
      <c r="AE150" s="125"/>
      <c r="AF150" s="125"/>
      <c r="AG150" s="125"/>
      <c r="AH150" s="392"/>
      <c r="AJ150" s="97"/>
      <c r="AK150" s="97"/>
      <c r="AL150" s="97"/>
      <c r="AM150" s="97"/>
      <c r="AN150" s="97"/>
      <c r="AO150" s="97"/>
    </row>
    <row r="151" spans="9:41">
      <c r="S151" s="123"/>
      <c r="T151" s="123"/>
      <c r="U151" s="123"/>
      <c r="V151" s="123"/>
      <c r="W151" s="123"/>
      <c r="X151" s="123"/>
      <c r="Y151" s="123"/>
      <c r="Z151" s="123"/>
      <c r="AA151" s="392"/>
      <c r="AC151" s="125"/>
      <c r="AD151" s="402"/>
      <c r="AE151" s="125"/>
      <c r="AF151" s="125"/>
      <c r="AG151" s="125"/>
      <c r="AH151" s="392"/>
      <c r="AJ151" s="97"/>
      <c r="AK151" s="97"/>
      <c r="AL151" s="97"/>
      <c r="AM151" s="97"/>
      <c r="AN151" s="97"/>
      <c r="AO151" s="97"/>
    </row>
    <row r="152" spans="9:41">
      <c r="S152" s="124"/>
      <c r="U152" s="164"/>
      <c r="AC152" s="125"/>
      <c r="AD152" s="402"/>
      <c r="AE152" s="125"/>
      <c r="AF152" s="125"/>
      <c r="AG152" s="125"/>
      <c r="AH152" s="392"/>
      <c r="AJ152" s="97"/>
      <c r="AK152" s="97"/>
      <c r="AL152" s="97"/>
      <c r="AM152" s="97"/>
      <c r="AN152" s="97"/>
      <c r="AO152" s="97"/>
    </row>
    <row r="153" spans="9:41">
      <c r="S153" s="123"/>
      <c r="AA153" s="445"/>
      <c r="AC153" s="125"/>
      <c r="AD153" s="402"/>
      <c r="AE153" s="125"/>
      <c r="AF153" s="125"/>
      <c r="AG153" s="125"/>
      <c r="AH153" s="392"/>
      <c r="AJ153" s="97"/>
      <c r="AK153" s="97"/>
      <c r="AL153" s="97"/>
      <c r="AM153" s="97"/>
      <c r="AN153" s="97"/>
      <c r="AO153" s="97"/>
    </row>
    <row r="154" spans="9:41">
      <c r="S154" s="123"/>
      <c r="AA154" s="445"/>
      <c r="AC154" s="125"/>
      <c r="AD154" s="402"/>
      <c r="AE154" s="125"/>
      <c r="AF154" s="125"/>
      <c r="AG154" s="125"/>
      <c r="AH154" s="392"/>
      <c r="AJ154" s="97"/>
      <c r="AK154" s="97"/>
      <c r="AL154" s="97"/>
      <c r="AM154" s="97"/>
      <c r="AN154" s="97"/>
      <c r="AO154" s="97"/>
    </row>
    <row r="155" spans="9:41">
      <c r="S155" s="123"/>
      <c r="AA155" s="445"/>
      <c r="AC155" s="125"/>
      <c r="AD155" s="402"/>
      <c r="AE155" s="125"/>
      <c r="AF155" s="125"/>
      <c r="AG155" s="125"/>
      <c r="AH155" s="392"/>
      <c r="AJ155" s="97"/>
      <c r="AK155" s="97"/>
      <c r="AL155" s="97"/>
      <c r="AM155" s="97"/>
      <c r="AN155" s="97"/>
      <c r="AO155" s="97"/>
    </row>
    <row r="156" spans="9:41" s="97" customFormat="1">
      <c r="I156" s="133"/>
      <c r="R156" s="133"/>
      <c r="S156" s="124"/>
      <c r="T156" s="125"/>
      <c r="U156" s="125"/>
      <c r="V156" s="125"/>
      <c r="W156" s="125"/>
      <c r="X156" s="125"/>
      <c r="Y156" s="125"/>
      <c r="Z156" s="125"/>
      <c r="AA156" s="125"/>
      <c r="AB156" s="133"/>
      <c r="AC156" s="125"/>
      <c r="AD156" s="402"/>
      <c r="AE156" s="125"/>
      <c r="AF156" s="125"/>
      <c r="AG156" s="125"/>
      <c r="AH156" s="392"/>
    </row>
    <row r="157" spans="9:41">
      <c r="S157" s="123"/>
      <c r="AA157" s="445"/>
      <c r="AC157" s="125"/>
      <c r="AD157" s="402"/>
      <c r="AE157" s="125"/>
      <c r="AF157" s="125"/>
      <c r="AG157" s="125"/>
      <c r="AH157" s="392"/>
    </row>
    <row r="158" spans="9:41">
      <c r="S158" s="123"/>
      <c r="AA158" s="445"/>
    </row>
    <row r="159" spans="9:41">
      <c r="S159" s="123"/>
    </row>
    <row r="160" spans="9:41">
      <c r="S160" s="124"/>
    </row>
    <row r="161" spans="19:19">
      <c r="S161" s="123"/>
    </row>
    <row r="162" spans="19:19">
      <c r="S162" s="123"/>
    </row>
    <row r="163" spans="19:19">
      <c r="S163" s="123"/>
    </row>
    <row r="164" spans="19:19">
      <c r="S164" s="124"/>
    </row>
    <row r="165" spans="19:19">
      <c r="S165" s="123"/>
    </row>
    <row r="166" spans="19:19">
      <c r="S166" s="124"/>
    </row>
    <row r="167" spans="19:19">
      <c r="S167" s="123"/>
    </row>
    <row r="168" spans="19:19">
      <c r="S168" s="124"/>
    </row>
    <row r="169" spans="19:19">
      <c r="S169" s="124"/>
    </row>
    <row r="170" spans="19:19">
      <c r="S170" s="123"/>
    </row>
    <row r="171" spans="19:19">
      <c r="S171" s="123"/>
    </row>
    <row r="172" spans="19:19">
      <c r="S172" s="123"/>
    </row>
    <row r="173" spans="19:19">
      <c r="S173" s="123"/>
    </row>
  </sheetData>
  <sheetProtection password="AAA9" sheet="1" objects="1" scenarios="1"/>
  <mergeCells count="31">
    <mergeCell ref="T16:T18"/>
    <mergeCell ref="V23:Y23"/>
    <mergeCell ref="V24:Y24"/>
    <mergeCell ref="V29:Y29"/>
    <mergeCell ref="V28:Y28"/>
    <mergeCell ref="V31:Y31"/>
    <mergeCell ref="V32:Y32"/>
    <mergeCell ref="V25:Y25"/>
    <mergeCell ref="V26:Y26"/>
    <mergeCell ref="V138:Y138"/>
    <mergeCell ref="V96:Y96"/>
    <mergeCell ref="V115:Y115"/>
    <mergeCell ref="V136:Y136"/>
    <mergeCell ref="V137:Y137"/>
    <mergeCell ref="V91:Y91"/>
    <mergeCell ref="V95:Y95"/>
    <mergeCell ref="V139:Y139"/>
    <mergeCell ref="V64:Y64"/>
    <mergeCell ref="V65:Y65"/>
    <mergeCell ref="V52:Y52"/>
    <mergeCell ref="V53:Y53"/>
    <mergeCell ref="V114:Y114"/>
    <mergeCell ref="V113:Y113"/>
    <mergeCell ref="V112:Y112"/>
    <mergeCell ref="V79:Y79"/>
    <mergeCell ref="V66:Y66"/>
    <mergeCell ref="V97:Y97"/>
    <mergeCell ref="V98:Y98"/>
    <mergeCell ref="V80:Y80"/>
    <mergeCell ref="V88:Y88"/>
    <mergeCell ref="V89:Y89"/>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892F-3DFF-4C66-9C66-3FAB78D24DB5}">
  <dimension ref="A1:AB418"/>
  <sheetViews>
    <sheetView zoomScaleNormal="100" workbookViewId="0"/>
  </sheetViews>
  <sheetFormatPr baseColWidth="10" defaultColWidth="11.5703125" defaultRowHeight="12.75"/>
  <cols>
    <col min="1" max="1" width="6.85546875" style="463" customWidth="1"/>
    <col min="2" max="2" width="41.5703125" style="463" customWidth="1"/>
    <col min="3" max="3" width="16.42578125" style="463" customWidth="1"/>
    <col min="4" max="4" width="13.7109375" style="463" customWidth="1"/>
    <col min="5" max="7" width="12.42578125" style="463" customWidth="1"/>
    <col min="8" max="8" width="13.140625" style="463" customWidth="1"/>
    <col min="9" max="9" width="13.85546875" style="463" customWidth="1"/>
    <col min="10" max="10" width="13.140625" style="463" customWidth="1"/>
    <col min="11" max="11" width="12" style="463" customWidth="1"/>
    <col min="12" max="12" width="15.7109375" style="463" customWidth="1"/>
    <col min="13" max="13" width="12" style="463" customWidth="1"/>
    <col min="14" max="16" width="11.5703125" style="463"/>
    <col min="17" max="20" width="11.85546875" style="463" customWidth="1"/>
    <col min="21" max="24" width="11.5703125" style="463"/>
    <col min="25" max="25" width="3.28515625" style="463" customWidth="1"/>
    <col min="26" max="26" width="10.5703125" style="463" customWidth="1"/>
    <col min="27" max="16384" width="11.5703125" style="463"/>
  </cols>
  <sheetData>
    <row r="1" spans="1:12" ht="18">
      <c r="A1" s="462" t="s">
        <v>498</v>
      </c>
    </row>
    <row r="3" spans="1:12" ht="15.75">
      <c r="A3" s="464"/>
      <c r="B3" s="465" t="s">
        <v>499</v>
      </c>
      <c r="C3" s="464"/>
      <c r="D3" s="464"/>
      <c r="E3" s="97"/>
      <c r="G3" s="97"/>
      <c r="H3" s="97"/>
      <c r="I3" s="97"/>
      <c r="J3" s="97"/>
      <c r="K3" s="97"/>
      <c r="L3" s="97"/>
    </row>
    <row r="4" spans="1:12">
      <c r="A4" s="466" t="s">
        <v>500</v>
      </c>
      <c r="B4" s="110" t="s">
        <v>711</v>
      </c>
      <c r="C4" s="467"/>
      <c r="D4" s="464"/>
      <c r="E4" s="115"/>
      <c r="F4" s="468"/>
      <c r="G4" s="468"/>
      <c r="H4" s="468"/>
      <c r="I4" s="468"/>
      <c r="J4" s="468"/>
      <c r="K4" s="468"/>
      <c r="L4" s="468"/>
    </row>
    <row r="5" spans="1:12">
      <c r="A5" s="466" t="s">
        <v>501</v>
      </c>
      <c r="B5" s="110" t="s">
        <v>712</v>
      </c>
      <c r="C5" s="467"/>
      <c r="D5" s="110"/>
      <c r="E5" s="97"/>
      <c r="F5" s="97"/>
      <c r="G5" s="97"/>
      <c r="H5" s="97"/>
      <c r="I5" s="97"/>
      <c r="J5" s="97"/>
      <c r="K5" s="97"/>
      <c r="L5" s="97"/>
    </row>
    <row r="6" spans="1:12">
      <c r="A6" s="466" t="s">
        <v>502</v>
      </c>
      <c r="B6" s="464" t="s">
        <v>713</v>
      </c>
      <c r="C6" s="467"/>
      <c r="D6" s="464"/>
      <c r="E6" s="468"/>
      <c r="F6" s="468"/>
      <c r="G6" s="468"/>
      <c r="H6" s="468"/>
      <c r="I6" s="468"/>
      <c r="J6" s="468"/>
      <c r="K6" s="468"/>
      <c r="L6" s="468"/>
    </row>
    <row r="7" spans="1:12">
      <c r="A7" s="466" t="s">
        <v>503</v>
      </c>
      <c r="B7" s="464" t="s">
        <v>744</v>
      </c>
      <c r="C7" s="467"/>
      <c r="D7" s="464"/>
      <c r="E7" s="468"/>
      <c r="F7" s="468"/>
      <c r="G7" s="468"/>
      <c r="H7" s="468"/>
      <c r="I7" s="468"/>
      <c r="J7" s="468"/>
      <c r="K7" s="468"/>
      <c r="L7" s="468"/>
    </row>
    <row r="8" spans="1:12">
      <c r="A8" s="466" t="s">
        <v>504</v>
      </c>
      <c r="B8" s="464" t="s">
        <v>829</v>
      </c>
      <c r="C8" s="467"/>
      <c r="D8" s="464"/>
      <c r="E8" s="468"/>
      <c r="F8" s="468"/>
      <c r="G8" s="468"/>
      <c r="H8" s="468"/>
      <c r="I8" s="468"/>
      <c r="J8" s="468"/>
      <c r="K8" s="468"/>
      <c r="L8" s="468"/>
    </row>
    <row r="9" spans="1:12">
      <c r="A9" s="466" t="s">
        <v>745</v>
      </c>
      <c r="B9" s="464" t="s">
        <v>1044</v>
      </c>
      <c r="C9" s="467"/>
      <c r="D9" s="110"/>
      <c r="E9" s="97"/>
      <c r="F9" s="97"/>
      <c r="G9" s="97"/>
      <c r="H9" s="97"/>
      <c r="I9" s="97"/>
      <c r="J9" s="97"/>
      <c r="K9" s="97"/>
      <c r="L9" s="97"/>
    </row>
    <row r="10" spans="1:12">
      <c r="A10" s="466" t="s">
        <v>830</v>
      </c>
      <c r="B10" s="464" t="s">
        <v>1045</v>
      </c>
      <c r="C10" s="467"/>
      <c r="D10" s="110"/>
      <c r="E10" s="97"/>
      <c r="F10" s="97"/>
      <c r="G10" s="97"/>
      <c r="H10" s="97"/>
      <c r="I10" s="97"/>
      <c r="J10" s="97"/>
      <c r="K10" s="97"/>
      <c r="L10" s="97"/>
    </row>
    <row r="11" spans="1:12">
      <c r="A11" s="466"/>
      <c r="B11" s="464"/>
      <c r="C11" s="467"/>
      <c r="D11" s="110"/>
      <c r="E11" s="97"/>
      <c r="F11" s="97"/>
      <c r="G11" s="97"/>
      <c r="H11" s="97"/>
      <c r="I11" s="97"/>
      <c r="J11" s="97"/>
      <c r="K11" s="97"/>
      <c r="L11" s="97"/>
    </row>
    <row r="12" spans="1:12">
      <c r="B12" s="469"/>
    </row>
    <row r="13" spans="1:12" ht="13.5" thickBot="1">
      <c r="A13" s="470" t="s">
        <v>500</v>
      </c>
      <c r="B13" s="471" t="s">
        <v>506</v>
      </c>
      <c r="C13" s="472" t="s">
        <v>919</v>
      </c>
      <c r="D13" s="468"/>
      <c r="E13" s="468"/>
      <c r="F13" s="468"/>
    </row>
    <row r="14" spans="1:12">
      <c r="B14" s="474" t="s">
        <v>891</v>
      </c>
      <c r="C14" s="688" t="str">
        <f>+D14</f>
        <v>IPCC 2021</v>
      </c>
      <c r="D14" s="701" t="s">
        <v>687</v>
      </c>
      <c r="E14" s="700" t="s">
        <v>678</v>
      </c>
      <c r="F14" s="697" t="s">
        <v>992</v>
      </c>
      <c r="G14" s="697" t="s">
        <v>999</v>
      </c>
      <c r="H14" s="699" t="s">
        <v>993</v>
      </c>
    </row>
    <row r="15" spans="1:12">
      <c r="B15" s="475"/>
      <c r="C15" s="689" t="s">
        <v>207</v>
      </c>
      <c r="D15" s="689" t="s">
        <v>207</v>
      </c>
      <c r="E15" s="698" t="s">
        <v>207</v>
      </c>
      <c r="F15" s="698" t="s">
        <v>207</v>
      </c>
      <c r="G15" s="698" t="s">
        <v>207</v>
      </c>
      <c r="H15" s="698" t="s">
        <v>207</v>
      </c>
    </row>
    <row r="16" spans="1:12">
      <c r="B16" s="477" t="s">
        <v>204</v>
      </c>
      <c r="C16" s="690">
        <f>+D16</f>
        <v>1</v>
      </c>
      <c r="D16" s="702">
        <v>1</v>
      </c>
      <c r="E16" s="696">
        <v>1</v>
      </c>
      <c r="F16" s="696">
        <v>1</v>
      </c>
      <c r="G16" s="696">
        <v>1</v>
      </c>
      <c r="H16" s="696">
        <v>1</v>
      </c>
    </row>
    <row r="17" spans="1:19">
      <c r="B17" s="479" t="s">
        <v>195</v>
      </c>
      <c r="C17" s="690">
        <f>+D17</f>
        <v>27.9</v>
      </c>
      <c r="D17" s="703">
        <v>27.9</v>
      </c>
      <c r="E17" s="696">
        <v>28</v>
      </c>
      <c r="F17" s="696">
        <v>25</v>
      </c>
      <c r="G17" s="696">
        <v>23</v>
      </c>
      <c r="H17" s="696"/>
    </row>
    <row r="18" spans="1:19">
      <c r="B18" s="477" t="s">
        <v>205</v>
      </c>
      <c r="C18" s="690">
        <f>+D18</f>
        <v>27.2</v>
      </c>
      <c r="D18" s="702">
        <v>27.2</v>
      </c>
      <c r="E18" s="696"/>
      <c r="F18" s="696"/>
      <c r="G18" s="696"/>
      <c r="H18" s="696"/>
    </row>
    <row r="19" spans="1:19">
      <c r="B19" s="477" t="s">
        <v>206</v>
      </c>
      <c r="C19" s="690">
        <f>+D19</f>
        <v>29.8</v>
      </c>
      <c r="D19" s="702">
        <v>29.8</v>
      </c>
      <c r="E19" s="696">
        <v>30</v>
      </c>
      <c r="F19" s="696"/>
      <c r="G19" s="696"/>
      <c r="H19" s="696">
        <v>21</v>
      </c>
    </row>
    <row r="20" spans="1:19" ht="13.5" thickBot="1">
      <c r="B20" s="477" t="s">
        <v>196</v>
      </c>
      <c r="C20" s="691">
        <f>+D20</f>
        <v>273</v>
      </c>
      <c r="D20" s="704">
        <v>273</v>
      </c>
      <c r="E20" s="696">
        <v>265</v>
      </c>
      <c r="F20" s="696">
        <v>298</v>
      </c>
      <c r="G20" s="696">
        <v>296</v>
      </c>
      <c r="H20" s="696">
        <v>310</v>
      </c>
    </row>
    <row r="21" spans="1:19">
      <c r="B21" s="482"/>
      <c r="D21" s="463" t="s">
        <v>688</v>
      </c>
      <c r="E21" s="463" t="s">
        <v>997</v>
      </c>
      <c r="F21" s="483" t="s">
        <v>998</v>
      </c>
    </row>
    <row r="22" spans="1:19" s="483" customFormat="1">
      <c r="B22" s="482"/>
      <c r="D22" s="483" t="s">
        <v>994</v>
      </c>
    </row>
    <row r="23" spans="1:19" s="484" customFormat="1" ht="13.5" thickBot="1">
      <c r="B23" s="485"/>
    </row>
    <row r="24" spans="1:19">
      <c r="B24" s="482"/>
      <c r="C24" s="483"/>
      <c r="D24" s="483"/>
      <c r="E24" s="483"/>
      <c r="F24" s="483"/>
    </row>
    <row r="25" spans="1:19">
      <c r="A25" s="470" t="s">
        <v>501</v>
      </c>
      <c r="B25" s="471" t="s">
        <v>733</v>
      </c>
      <c r="C25" s="483"/>
      <c r="D25" s="483"/>
      <c r="E25" s="483"/>
      <c r="F25" s="483"/>
    </row>
    <row r="26" spans="1:19">
      <c r="B26" s="116" t="s">
        <v>549</v>
      </c>
      <c r="C26" s="483"/>
      <c r="D26" s="483"/>
      <c r="E26" s="483"/>
      <c r="F26" s="483"/>
    </row>
    <row r="27" spans="1:19">
      <c r="A27" s="470"/>
      <c r="B27" s="463" t="s">
        <v>732</v>
      </c>
      <c r="C27" s="483"/>
      <c r="D27" s="483"/>
      <c r="E27" s="483"/>
      <c r="F27" s="483"/>
    </row>
    <row r="28" spans="1:19">
      <c r="B28" s="486" t="s">
        <v>550</v>
      </c>
      <c r="C28" s="125"/>
      <c r="D28" s="125"/>
      <c r="E28" s="125"/>
      <c r="F28" s="380"/>
      <c r="G28" s="380"/>
      <c r="H28" s="380"/>
      <c r="I28" s="380"/>
      <c r="J28" s="125"/>
      <c r="K28" s="125"/>
      <c r="L28" s="125"/>
      <c r="M28" s="487" t="s">
        <v>704</v>
      </c>
      <c r="N28" s="379"/>
      <c r="O28" s="379"/>
      <c r="P28" s="487"/>
      <c r="Q28" s="460"/>
      <c r="R28" s="460"/>
      <c r="S28" s="460"/>
    </row>
    <row r="29" spans="1:19">
      <c r="B29" s="776" t="s">
        <v>551</v>
      </c>
      <c r="C29" s="777"/>
      <c r="D29" s="777"/>
      <c r="E29" s="777"/>
      <c r="F29" s="777"/>
      <c r="G29" s="777"/>
      <c r="H29" s="777"/>
      <c r="I29" s="777"/>
      <c r="J29" s="777"/>
      <c r="K29" s="778"/>
      <c r="L29" s="125"/>
      <c r="M29" s="379"/>
      <c r="N29" s="379"/>
      <c r="O29" s="379"/>
      <c r="P29" s="487" t="s">
        <v>207</v>
      </c>
      <c r="Q29" s="460"/>
      <c r="R29" s="124"/>
      <c r="S29" s="124"/>
    </row>
    <row r="30" spans="1:19">
      <c r="B30" s="488"/>
      <c r="C30" s="781" t="s">
        <v>194</v>
      </c>
      <c r="D30" s="781"/>
      <c r="E30" s="781"/>
      <c r="F30" s="781" t="s">
        <v>195</v>
      </c>
      <c r="G30" s="781"/>
      <c r="H30" s="781"/>
      <c r="I30" s="781" t="s">
        <v>196</v>
      </c>
      <c r="J30" s="781"/>
      <c r="K30" s="781"/>
      <c r="L30" s="125"/>
      <c r="M30" s="130" t="s">
        <v>194</v>
      </c>
      <c r="N30" s="130" t="s">
        <v>195</v>
      </c>
      <c r="O30" s="130" t="s">
        <v>196</v>
      </c>
      <c r="P30" s="680" t="s">
        <v>552</v>
      </c>
      <c r="Q30" s="460"/>
      <c r="R30" s="124"/>
      <c r="S30" s="124"/>
    </row>
    <row r="31" spans="1:19">
      <c r="B31" s="489" t="s">
        <v>553</v>
      </c>
      <c r="C31" s="490" t="s">
        <v>554</v>
      </c>
      <c r="D31" s="491" t="s">
        <v>555</v>
      </c>
      <c r="E31" s="491" t="s">
        <v>556</v>
      </c>
      <c r="F31" s="489" t="s">
        <v>554</v>
      </c>
      <c r="G31" s="491" t="s">
        <v>555</v>
      </c>
      <c r="H31" s="491" t="s">
        <v>556</v>
      </c>
      <c r="I31" s="489" t="s">
        <v>554</v>
      </c>
      <c r="J31" s="491" t="s">
        <v>555</v>
      </c>
      <c r="K31" s="491" t="s">
        <v>556</v>
      </c>
      <c r="L31" s="125"/>
      <c r="M31" s="751" t="s">
        <v>557</v>
      </c>
      <c r="N31" s="752"/>
      <c r="O31" s="752"/>
      <c r="P31" s="752"/>
      <c r="Q31" s="460"/>
      <c r="R31" s="165"/>
      <c r="S31" s="165"/>
    </row>
    <row r="32" spans="1:19">
      <c r="B32" s="93" t="s">
        <v>511</v>
      </c>
      <c r="C32" s="492">
        <v>74100</v>
      </c>
      <c r="D32" s="493">
        <v>72600</v>
      </c>
      <c r="E32" s="493">
        <v>74800</v>
      </c>
      <c r="F32" s="494">
        <v>3</v>
      </c>
      <c r="G32" s="495">
        <v>1</v>
      </c>
      <c r="H32" s="495">
        <v>10</v>
      </c>
      <c r="I32" s="494">
        <v>0.6</v>
      </c>
      <c r="J32" s="495">
        <v>0.2</v>
      </c>
      <c r="K32" s="495">
        <v>2</v>
      </c>
      <c r="L32" s="97"/>
      <c r="M32" s="119">
        <f>+C32/1000*3.6</f>
        <v>266.76</v>
      </c>
      <c r="N32" s="496">
        <f>+F32/1000*3.6*Start!$D$86</f>
        <v>0.32184000000000001</v>
      </c>
      <c r="O32" s="496">
        <f>+I32/1000*3.6*Start!$D$87</f>
        <v>0.58967999999999998</v>
      </c>
      <c r="P32" s="681">
        <f>SUM(M32:O32)</f>
        <v>267.67151999999999</v>
      </c>
      <c r="Q32" s="460"/>
      <c r="R32" s="682"/>
      <c r="S32" s="126"/>
    </row>
    <row r="33" spans="1:21">
      <c r="B33" s="93" t="s">
        <v>547</v>
      </c>
      <c r="C33" s="492">
        <v>98300</v>
      </c>
      <c r="D33" s="493">
        <v>94600</v>
      </c>
      <c r="E33" s="493">
        <v>101000</v>
      </c>
      <c r="F33" s="494">
        <v>1</v>
      </c>
      <c r="G33" s="495">
        <v>0.3</v>
      </c>
      <c r="H33" s="495">
        <v>3</v>
      </c>
      <c r="I33" s="494">
        <v>1.5</v>
      </c>
      <c r="J33" s="495">
        <v>0.5</v>
      </c>
      <c r="K33" s="495">
        <v>5</v>
      </c>
      <c r="L33" s="97"/>
      <c r="M33" s="119">
        <f t="shared" ref="M33" si="0">+C33/1000*3.6</f>
        <v>353.88</v>
      </c>
      <c r="N33" s="496">
        <f>+F33/1000*3.6*Start!$D$86</f>
        <v>0.10728000000000001</v>
      </c>
      <c r="O33" s="496">
        <f>+I33/1000*3.6*Start!$D$87</f>
        <v>1.4742000000000002</v>
      </c>
      <c r="P33" s="681">
        <f t="shared" ref="P33" si="1">SUM(M33:O33)</f>
        <v>355.46147999999999</v>
      </c>
      <c r="Q33" s="460"/>
      <c r="R33" s="682"/>
      <c r="S33" s="126"/>
    </row>
    <row r="34" spans="1:21">
      <c r="B34" s="93" t="s">
        <v>548</v>
      </c>
      <c r="C34" s="492">
        <v>101000</v>
      </c>
      <c r="D34" s="493">
        <v>90900</v>
      </c>
      <c r="E34" s="493">
        <v>115000</v>
      </c>
      <c r="F34" s="494">
        <v>1</v>
      </c>
      <c r="G34" s="495">
        <v>0.3</v>
      </c>
      <c r="H34" s="495">
        <v>3</v>
      </c>
      <c r="I34" s="494">
        <v>1.5</v>
      </c>
      <c r="J34" s="495">
        <v>0.5</v>
      </c>
      <c r="K34" s="495">
        <v>5</v>
      </c>
      <c r="L34" s="97"/>
      <c r="M34" s="119">
        <f>+C34/1000*3.6</f>
        <v>363.6</v>
      </c>
      <c r="N34" s="496">
        <f>+F34/1000*3.6*Start!$D$86</f>
        <v>0.10728000000000001</v>
      </c>
      <c r="O34" s="496">
        <f>+I34/1000*3.6*Start!$D$87</f>
        <v>1.4742000000000002</v>
      </c>
      <c r="P34" s="681">
        <f>SUM(M34:O34)</f>
        <v>365.18148000000002</v>
      </c>
      <c r="Q34" s="460"/>
      <c r="R34" s="682"/>
      <c r="S34" s="126"/>
    </row>
    <row r="35" spans="1:21">
      <c r="B35" s="93" t="s">
        <v>932</v>
      </c>
      <c r="C35" s="492">
        <v>97500</v>
      </c>
      <c r="D35" s="493">
        <v>87300</v>
      </c>
      <c r="E35" s="493">
        <v>109000</v>
      </c>
      <c r="F35" s="494">
        <v>1</v>
      </c>
      <c r="G35" s="495">
        <v>0.3</v>
      </c>
      <c r="H35" s="495">
        <v>3</v>
      </c>
      <c r="I35" s="494">
        <v>1.5</v>
      </c>
      <c r="J35" s="495">
        <v>0.5</v>
      </c>
      <c r="K35" s="495">
        <v>5</v>
      </c>
      <c r="L35" s="97"/>
      <c r="M35" s="119">
        <f>+C35/1000*3.6</f>
        <v>351</v>
      </c>
      <c r="N35" s="496">
        <f>+F35/1000*3.6*Start!$D$86</f>
        <v>0.10728000000000001</v>
      </c>
      <c r="O35" s="496">
        <f>+I35/1000*3.6*Start!$D$87</f>
        <v>1.4742000000000002</v>
      </c>
      <c r="P35" s="681">
        <f>SUM(M35:O35)</f>
        <v>352.58148</v>
      </c>
      <c r="Q35" s="460"/>
      <c r="R35" s="682"/>
      <c r="S35" s="126"/>
    </row>
    <row r="36" spans="1:21">
      <c r="B36" s="93" t="s">
        <v>281</v>
      </c>
      <c r="C36" s="492">
        <v>56100</v>
      </c>
      <c r="D36" s="493">
        <v>54300</v>
      </c>
      <c r="E36" s="493">
        <v>58300</v>
      </c>
      <c r="F36" s="494">
        <v>1</v>
      </c>
      <c r="G36" s="495">
        <v>0.3</v>
      </c>
      <c r="H36" s="495">
        <v>3</v>
      </c>
      <c r="I36" s="494">
        <v>0.1</v>
      </c>
      <c r="J36" s="497">
        <v>0.03</v>
      </c>
      <c r="K36" s="495">
        <v>0.3</v>
      </c>
      <c r="L36" s="97"/>
      <c r="M36" s="119">
        <f t="shared" ref="M36" si="2">+C36/1000*3.6</f>
        <v>201.96</v>
      </c>
      <c r="N36" s="496">
        <f>+F36/1000*3.6*Start!$D$86</f>
        <v>0.10728000000000001</v>
      </c>
      <c r="O36" s="496">
        <f>+I36/1000*3.6*Start!$D$87</f>
        <v>9.8280000000000006E-2</v>
      </c>
      <c r="P36" s="681">
        <f t="shared" ref="P36" si="3">SUM(M36:O36)</f>
        <v>202.16556</v>
      </c>
      <c r="Q36" s="460"/>
      <c r="R36" s="682"/>
      <c r="S36" s="126"/>
    </row>
    <row r="37" spans="1:21">
      <c r="B37" s="468"/>
      <c r="C37" s="468"/>
      <c r="D37" s="468"/>
      <c r="E37" s="468"/>
      <c r="F37" s="468"/>
      <c r="G37" s="468"/>
      <c r="H37" s="468"/>
      <c r="I37" s="468"/>
      <c r="J37" s="468"/>
      <c r="K37" s="468"/>
      <c r="L37" s="468"/>
      <c r="M37" s="468"/>
      <c r="N37" s="468"/>
      <c r="O37" s="468"/>
      <c r="P37" s="498" t="s">
        <v>559</v>
      </c>
      <c r="Q37" s="460"/>
      <c r="R37" s="460"/>
      <c r="S37" s="460"/>
    </row>
    <row r="38" spans="1:21">
      <c r="B38" s="499" t="s">
        <v>558</v>
      </c>
      <c r="C38" s="500"/>
      <c r="D38" s="500"/>
      <c r="E38" s="500"/>
      <c r="F38" s="500"/>
      <c r="G38" s="501" t="s">
        <v>560</v>
      </c>
      <c r="H38" s="500"/>
      <c r="I38" s="500"/>
      <c r="J38" s="500"/>
      <c r="K38" s="500"/>
      <c r="L38" s="500"/>
      <c r="M38" s="500"/>
      <c r="N38" s="500"/>
      <c r="O38" s="500"/>
      <c r="P38" s="502">
        <f>(P32*0.5+P36*0.5)/0.9</f>
        <v>261.0206</v>
      </c>
      <c r="Q38" s="460"/>
      <c r="R38" s="460"/>
      <c r="S38" s="683"/>
      <c r="T38" s="460"/>
      <c r="U38" s="483"/>
    </row>
    <row r="39" spans="1:21" s="484" customFormat="1" ht="13.5" thickBot="1">
      <c r="B39" s="503"/>
      <c r="C39" s="503"/>
      <c r="D39" s="503"/>
      <c r="E39" s="503"/>
      <c r="F39" s="503"/>
      <c r="G39" s="503"/>
      <c r="H39" s="503"/>
      <c r="I39" s="503"/>
      <c r="J39" s="503"/>
      <c r="K39" s="503"/>
      <c r="L39" s="503"/>
      <c r="M39" s="503"/>
      <c r="N39" s="503"/>
      <c r="O39" s="503"/>
      <c r="P39" s="503"/>
      <c r="Q39" s="503"/>
      <c r="R39" s="503"/>
      <c r="S39" s="503"/>
    </row>
    <row r="41" spans="1:21">
      <c r="A41" s="470" t="s">
        <v>502</v>
      </c>
      <c r="B41" s="471" t="s">
        <v>710</v>
      </c>
    </row>
    <row r="42" spans="1:21">
      <c r="B42" s="463" t="s">
        <v>852</v>
      </c>
    </row>
    <row r="43" spans="1:21" ht="25.5">
      <c r="B43" s="616" t="s">
        <v>212</v>
      </c>
      <c r="C43" s="476" t="s">
        <v>213</v>
      </c>
      <c r="D43" s="504" t="s">
        <v>690</v>
      </c>
      <c r="E43" s="780" t="s">
        <v>214</v>
      </c>
      <c r="F43" s="780"/>
      <c r="G43" s="780" t="s">
        <v>980</v>
      </c>
      <c r="H43" s="780"/>
      <c r="I43" s="780"/>
      <c r="J43" s="780"/>
      <c r="K43" s="780" t="s">
        <v>765</v>
      </c>
      <c r="L43" s="780"/>
      <c r="M43" s="780"/>
    </row>
    <row r="44" spans="1:21" s="468" customFormat="1">
      <c r="B44" s="505"/>
      <c r="C44" s="506" t="s">
        <v>691</v>
      </c>
      <c r="D44" s="506" t="s">
        <v>692</v>
      </c>
      <c r="E44" s="779"/>
      <c r="F44" s="779"/>
      <c r="G44" s="779"/>
      <c r="H44" s="779"/>
      <c r="I44" s="779"/>
      <c r="J44" s="779"/>
      <c r="K44" s="779"/>
      <c r="L44" s="779"/>
      <c r="M44" s="779"/>
    </row>
    <row r="45" spans="1:21" s="468" customFormat="1">
      <c r="B45" s="506" t="s">
        <v>21</v>
      </c>
      <c r="C45" s="227">
        <v>550</v>
      </c>
      <c r="D45" s="227">
        <v>1070</v>
      </c>
      <c r="E45" s="779" t="s">
        <v>764</v>
      </c>
      <c r="F45" s="779"/>
      <c r="G45" s="779" t="s">
        <v>933</v>
      </c>
      <c r="H45" s="779"/>
      <c r="I45" s="779"/>
      <c r="J45" s="779"/>
      <c r="K45" s="779" t="s">
        <v>851</v>
      </c>
      <c r="L45" s="779"/>
      <c r="M45" s="779"/>
      <c r="N45" s="463"/>
      <c r="O45" s="463"/>
      <c r="P45" s="463"/>
      <c r="Q45" s="463"/>
      <c r="R45" s="463"/>
      <c r="S45" s="463"/>
    </row>
    <row r="46" spans="1:21" s="468" customFormat="1">
      <c r="B46" s="506" t="s">
        <v>215</v>
      </c>
      <c r="C46" s="227">
        <v>21.784127404012555</v>
      </c>
      <c r="D46" s="227">
        <v>1500</v>
      </c>
      <c r="E46" s="779" t="s">
        <v>764</v>
      </c>
      <c r="F46" s="779"/>
      <c r="G46" s="779" t="s">
        <v>768</v>
      </c>
      <c r="H46" s="779"/>
      <c r="I46" s="779"/>
      <c r="J46" s="779"/>
      <c r="K46" s="779" t="s">
        <v>851</v>
      </c>
      <c r="L46" s="779"/>
      <c r="M46" s="779"/>
    </row>
    <row r="47" spans="1:21" s="468" customFormat="1">
      <c r="B47" s="506" t="s">
        <v>94</v>
      </c>
      <c r="C47" s="227">
        <v>850</v>
      </c>
      <c r="D47" s="227">
        <v>4600</v>
      </c>
      <c r="E47" s="779" t="s">
        <v>764</v>
      </c>
      <c r="F47" s="779"/>
      <c r="G47" s="779" t="s">
        <v>769</v>
      </c>
      <c r="H47" s="779"/>
      <c r="I47" s="779"/>
      <c r="J47" s="779"/>
      <c r="K47" s="779" t="s">
        <v>851</v>
      </c>
      <c r="L47" s="779"/>
      <c r="M47" s="779"/>
      <c r="Q47" s="507"/>
    </row>
    <row r="48" spans="1:21" s="468" customFormat="1">
      <c r="B48" s="506" t="s">
        <v>22</v>
      </c>
      <c r="C48" s="228">
        <v>20</v>
      </c>
      <c r="D48" s="228">
        <v>500</v>
      </c>
      <c r="E48" s="779" t="s">
        <v>764</v>
      </c>
      <c r="F48" s="779"/>
      <c r="G48" s="779" t="s">
        <v>766</v>
      </c>
      <c r="H48" s="779"/>
      <c r="I48" s="779"/>
      <c r="J48" s="779"/>
      <c r="K48" s="779" t="s">
        <v>767</v>
      </c>
      <c r="L48" s="779"/>
      <c r="M48" s="779"/>
      <c r="Q48" s="507"/>
    </row>
    <row r="49" spans="1:17" s="468" customFormat="1">
      <c r="B49" s="506" t="s">
        <v>20</v>
      </c>
      <c r="C49" s="228">
        <v>180</v>
      </c>
      <c r="D49" s="228">
        <v>630</v>
      </c>
      <c r="E49" s="779" t="s">
        <v>764</v>
      </c>
      <c r="F49" s="779"/>
      <c r="G49" s="779" t="s">
        <v>768</v>
      </c>
      <c r="H49" s="779"/>
      <c r="I49" s="779"/>
      <c r="J49" s="779"/>
      <c r="K49" s="779" t="s">
        <v>851</v>
      </c>
      <c r="L49" s="779"/>
      <c r="M49" s="779"/>
      <c r="Q49" s="507"/>
    </row>
    <row r="50" spans="1:17" s="484" customFormat="1" ht="13.5" thickBot="1">
      <c r="H50" s="88"/>
    </row>
    <row r="51" spans="1:17" s="483" customFormat="1">
      <c r="H51" s="100"/>
    </row>
    <row r="52" spans="1:17" s="483" customFormat="1">
      <c r="A52" s="470" t="s">
        <v>503</v>
      </c>
      <c r="B52" s="471" t="s">
        <v>730</v>
      </c>
      <c r="H52" s="100"/>
    </row>
    <row r="53" spans="1:17" s="483" customFormat="1">
      <c r="H53" s="100"/>
    </row>
    <row r="54" spans="1:17" s="483" customFormat="1">
      <c r="B54" s="483" t="s">
        <v>734</v>
      </c>
      <c r="H54" s="483" t="s">
        <v>803</v>
      </c>
      <c r="I54" s="100"/>
    </row>
    <row r="55" spans="1:17" s="483" customFormat="1">
      <c r="B55" s="463" t="s">
        <v>731</v>
      </c>
      <c r="I55" s="100"/>
    </row>
    <row r="56" spans="1:17" s="483" customFormat="1" ht="38.25">
      <c r="B56" s="616" t="s">
        <v>736</v>
      </c>
      <c r="C56" s="504" t="s">
        <v>735</v>
      </c>
      <c r="D56" s="504" t="s">
        <v>737</v>
      </c>
      <c r="H56" s="508" t="s">
        <v>736</v>
      </c>
      <c r="I56" s="509" t="s">
        <v>735</v>
      </c>
      <c r="J56" s="510" t="s">
        <v>737</v>
      </c>
    </row>
    <row r="57" spans="1:17" s="483" customFormat="1" ht="27.6" customHeight="1">
      <c r="B57" s="511"/>
      <c r="C57" s="504" t="s">
        <v>739</v>
      </c>
      <c r="D57" s="504" t="s">
        <v>740</v>
      </c>
      <c r="H57" s="478"/>
      <c r="I57" s="512" t="s">
        <v>739</v>
      </c>
      <c r="J57" s="513" t="s">
        <v>740</v>
      </c>
    </row>
    <row r="58" spans="1:17" s="483" customFormat="1" ht="25.5">
      <c r="B58" s="476"/>
      <c r="C58" s="504" t="s">
        <v>738</v>
      </c>
      <c r="D58" s="504" t="s">
        <v>738</v>
      </c>
      <c r="H58" s="478"/>
      <c r="I58" s="512" t="s">
        <v>738</v>
      </c>
      <c r="J58" s="513" t="s">
        <v>738</v>
      </c>
    </row>
    <row r="59" spans="1:17" s="483" customFormat="1">
      <c r="B59" s="506" t="s">
        <v>15</v>
      </c>
      <c r="C59" s="514">
        <v>4</v>
      </c>
      <c r="D59" s="515">
        <v>0.24</v>
      </c>
      <c r="H59" s="478" t="s">
        <v>15</v>
      </c>
      <c r="I59" s="516">
        <v>1.4</v>
      </c>
      <c r="J59" s="478">
        <v>7.3999999999999996E-2</v>
      </c>
    </row>
    <row r="60" spans="1:17" s="483" customFormat="1" ht="25.9" customHeight="1">
      <c r="B60" s="506" t="s">
        <v>741</v>
      </c>
      <c r="C60" s="517">
        <v>0.8</v>
      </c>
      <c r="D60" s="518">
        <v>0</v>
      </c>
      <c r="H60" s="513" t="s">
        <v>741</v>
      </c>
      <c r="I60" s="516">
        <v>2.8</v>
      </c>
      <c r="J60" s="478">
        <v>6.7000000000000004E-2</v>
      </c>
    </row>
    <row r="61" spans="1:17" s="483" customFormat="1">
      <c r="B61" s="519" t="s">
        <v>742</v>
      </c>
      <c r="H61" s="100"/>
    </row>
    <row r="62" spans="1:17" s="483" customFormat="1">
      <c r="B62" s="519" t="s">
        <v>743</v>
      </c>
      <c r="H62" s="100"/>
    </row>
    <row r="63" spans="1:17" s="483" customFormat="1">
      <c r="B63" s="519"/>
      <c r="H63" s="100"/>
    </row>
    <row r="64" spans="1:17" s="483" customFormat="1">
      <c r="B64" s="483" t="s">
        <v>861</v>
      </c>
      <c r="H64" s="100"/>
    </row>
    <row r="65" spans="1:9" s="483" customFormat="1">
      <c r="B65" s="483" t="s">
        <v>860</v>
      </c>
      <c r="H65" s="100"/>
    </row>
    <row r="66" spans="1:9" s="483" customFormat="1">
      <c r="B66" s="483" t="s">
        <v>1046</v>
      </c>
      <c r="H66" s="100"/>
    </row>
    <row r="67" spans="1:9" s="483" customFormat="1" ht="28.15" customHeight="1">
      <c r="B67" s="616" t="s">
        <v>864</v>
      </c>
      <c r="C67" s="504" t="s">
        <v>735</v>
      </c>
      <c r="D67" s="504" t="s">
        <v>737</v>
      </c>
      <c r="E67" s="476" t="s">
        <v>220</v>
      </c>
      <c r="H67" s="100"/>
    </row>
    <row r="68" spans="1:9" s="483" customFormat="1" ht="28.15" customHeight="1">
      <c r="B68" s="511"/>
      <c r="C68" s="504" t="s">
        <v>739</v>
      </c>
      <c r="D68" s="504" t="s">
        <v>740</v>
      </c>
      <c r="E68" s="476"/>
      <c r="H68" s="100"/>
    </row>
    <row r="69" spans="1:9" s="483" customFormat="1" ht="25.5">
      <c r="B69" s="476"/>
      <c r="C69" s="504" t="s">
        <v>738</v>
      </c>
      <c r="D69" s="504" t="s">
        <v>738</v>
      </c>
      <c r="E69" s="476"/>
      <c r="H69" s="100"/>
    </row>
    <row r="70" spans="1:9" s="483" customFormat="1">
      <c r="B70" s="506" t="s">
        <v>865</v>
      </c>
      <c r="C70" s="514">
        <f>+C59</f>
        <v>4</v>
      </c>
      <c r="D70" s="515">
        <f>+D59</f>
        <v>0.24</v>
      </c>
      <c r="E70" s="478"/>
      <c r="H70" s="100"/>
    </row>
    <row r="71" spans="1:9" s="483" customFormat="1">
      <c r="B71" s="506" t="s">
        <v>862</v>
      </c>
      <c r="C71" s="514">
        <f>+C60+50%*C59</f>
        <v>2.8</v>
      </c>
      <c r="D71" s="514">
        <f>+D60+50%*D59</f>
        <v>0.12</v>
      </c>
      <c r="E71" s="478" t="s">
        <v>889</v>
      </c>
      <c r="H71" s="100"/>
    </row>
    <row r="72" spans="1:9" s="483" customFormat="1">
      <c r="B72" s="506" t="s">
        <v>863</v>
      </c>
      <c r="C72" s="517">
        <f>+C70/2</f>
        <v>2</v>
      </c>
      <c r="D72" s="517">
        <f>+D70/2</f>
        <v>0.12</v>
      </c>
      <c r="E72" s="478" t="s">
        <v>890</v>
      </c>
      <c r="H72" s="100"/>
    </row>
    <row r="73" spans="1:9" s="483" customFormat="1">
      <c r="B73" s="519"/>
      <c r="H73" s="100"/>
    </row>
    <row r="74" spans="1:9" s="484" customFormat="1" ht="13.5" thickBot="1"/>
    <row r="75" spans="1:9" s="483" customFormat="1"/>
    <row r="76" spans="1:9" s="483" customFormat="1">
      <c r="A76" s="470" t="s">
        <v>504</v>
      </c>
      <c r="B76" s="471" t="s">
        <v>806</v>
      </c>
      <c r="H76" s="100"/>
    </row>
    <row r="77" spans="1:9" s="483" customFormat="1">
      <c r="H77" s="100"/>
    </row>
    <row r="78" spans="1:9" s="483" customFormat="1">
      <c r="B78" s="483" t="s">
        <v>808</v>
      </c>
      <c r="I78" s="100"/>
    </row>
    <row r="79" spans="1:9" s="483" customFormat="1">
      <c r="B79" s="463" t="s">
        <v>807</v>
      </c>
      <c r="I79" s="100"/>
    </row>
    <row r="80" spans="1:9" s="483" customFormat="1">
      <c r="B80" s="483" t="s">
        <v>981</v>
      </c>
    </row>
    <row r="81" spans="1:10" s="483" customFormat="1">
      <c r="B81" s="520" t="s">
        <v>820</v>
      </c>
    </row>
    <row r="82" spans="1:10" s="483" customFormat="1">
      <c r="B82" s="520" t="s">
        <v>821</v>
      </c>
      <c r="H82" s="483" t="s">
        <v>822</v>
      </c>
    </row>
    <row r="83" spans="1:10" s="483" customFormat="1" ht="25.5">
      <c r="B83" s="616" t="s">
        <v>809</v>
      </c>
      <c r="C83" s="504" t="s">
        <v>810</v>
      </c>
      <c r="H83" s="521" t="s">
        <v>818</v>
      </c>
      <c r="J83" s="460"/>
    </row>
    <row r="84" spans="1:10" s="483" customFormat="1">
      <c r="B84" s="478" t="s">
        <v>814</v>
      </c>
      <c r="C84" s="478">
        <v>47</v>
      </c>
      <c r="H84" s="478" t="s">
        <v>257</v>
      </c>
      <c r="I84" s="478" t="s">
        <v>817</v>
      </c>
      <c r="J84" s="506" t="s">
        <v>819</v>
      </c>
    </row>
    <row r="85" spans="1:10" s="483" customFormat="1">
      <c r="B85" s="478" t="s">
        <v>811</v>
      </c>
      <c r="C85" s="478">
        <v>8</v>
      </c>
    </row>
    <row r="86" spans="1:10" s="460" customFormat="1">
      <c r="B86" s="506" t="s">
        <v>812</v>
      </c>
      <c r="C86" s="506">
        <v>20</v>
      </c>
      <c r="D86" s="522"/>
    </row>
    <row r="87" spans="1:10" s="483" customFormat="1">
      <c r="B87" s="478" t="s">
        <v>813</v>
      </c>
      <c r="C87" s="478">
        <v>12</v>
      </c>
    </row>
    <row r="88" spans="1:10" s="483" customFormat="1">
      <c r="B88" s="523" t="s">
        <v>859</v>
      </c>
      <c r="C88" s="523">
        <v>20</v>
      </c>
      <c r="D88" s="523" t="s">
        <v>696</v>
      </c>
    </row>
    <row r="89" spans="1:10" s="484" customFormat="1" ht="13.5" thickBot="1"/>
    <row r="90" spans="1:10" s="483" customFormat="1"/>
    <row r="91" spans="1:10">
      <c r="A91" s="470" t="s">
        <v>745</v>
      </c>
      <c r="B91" s="471" t="s">
        <v>693</v>
      </c>
      <c r="C91" s="471" t="s">
        <v>694</v>
      </c>
    </row>
    <row r="93" spans="1:10">
      <c r="B93" s="474" t="s">
        <v>191</v>
      </c>
    </row>
    <row r="94" spans="1:10">
      <c r="B94" s="463" t="s">
        <v>216</v>
      </c>
    </row>
    <row r="95" spans="1:10">
      <c r="B95" s="463" t="s">
        <v>217</v>
      </c>
    </row>
    <row r="96" spans="1:10" ht="27" customHeight="1">
      <c r="B96" s="476" t="s">
        <v>218</v>
      </c>
      <c r="C96" s="504" t="s">
        <v>219</v>
      </c>
      <c r="D96" s="476" t="s">
        <v>220</v>
      </c>
    </row>
    <row r="97" spans="2:5">
      <c r="B97" s="524" t="s">
        <v>221</v>
      </c>
      <c r="C97" s="480">
        <v>0.1</v>
      </c>
      <c r="D97" s="480"/>
    </row>
    <row r="98" spans="2:5">
      <c r="B98" s="524" t="s">
        <v>222</v>
      </c>
      <c r="C98" s="480">
        <v>0.5</v>
      </c>
      <c r="D98" s="480"/>
    </row>
    <row r="99" spans="2:5">
      <c r="B99" s="524" t="s">
        <v>223</v>
      </c>
      <c r="C99" s="480">
        <v>0.7</v>
      </c>
      <c r="D99" s="480"/>
    </row>
    <row r="100" spans="2:5">
      <c r="B100" s="525" t="s">
        <v>695</v>
      </c>
      <c r="C100" s="523">
        <v>0.5</v>
      </c>
      <c r="D100" s="523" t="s">
        <v>696</v>
      </c>
    </row>
    <row r="102" spans="2:5">
      <c r="B102" s="474" t="s">
        <v>192</v>
      </c>
    </row>
    <row r="103" spans="2:5">
      <c r="B103" s="463" t="s">
        <v>224</v>
      </c>
    </row>
    <row r="104" spans="2:5">
      <c r="B104" s="463" t="s">
        <v>225</v>
      </c>
    </row>
    <row r="105" spans="2:5">
      <c r="B105" s="97" t="s">
        <v>722</v>
      </c>
      <c r="C105" s="460"/>
      <c r="D105" s="460"/>
      <c r="E105" s="468"/>
    </row>
    <row r="106" spans="2:5">
      <c r="B106" s="476" t="s">
        <v>226</v>
      </c>
      <c r="C106" s="476" t="s">
        <v>227</v>
      </c>
      <c r="D106" s="476" t="s">
        <v>228</v>
      </c>
    </row>
    <row r="107" spans="2:5">
      <c r="B107" s="478" t="s">
        <v>229</v>
      </c>
      <c r="C107" s="478">
        <v>1</v>
      </c>
      <c r="D107" s="478" t="s">
        <v>230</v>
      </c>
    </row>
    <row r="108" spans="2:5">
      <c r="B108" s="481" t="s">
        <v>231</v>
      </c>
      <c r="C108" s="478">
        <v>0.5</v>
      </c>
      <c r="D108" s="478" t="s">
        <v>232</v>
      </c>
    </row>
    <row r="109" spans="2:5">
      <c r="B109" s="481" t="s">
        <v>697</v>
      </c>
      <c r="C109" s="481">
        <v>0.7</v>
      </c>
      <c r="D109" s="481" t="s">
        <v>234</v>
      </c>
    </row>
    <row r="110" spans="2:5">
      <c r="B110" s="481" t="s">
        <v>698</v>
      </c>
      <c r="C110" s="481">
        <v>0.4</v>
      </c>
      <c r="D110" s="481" t="s">
        <v>236</v>
      </c>
    </row>
    <row r="111" spans="2:5">
      <c r="B111" s="481" t="s">
        <v>699</v>
      </c>
      <c r="C111" s="481">
        <v>0.7</v>
      </c>
      <c r="D111" s="481" t="s">
        <v>238</v>
      </c>
    </row>
    <row r="112" spans="2:5">
      <c r="B112" s="526" t="s">
        <v>239</v>
      </c>
      <c r="C112" s="478">
        <v>0.8</v>
      </c>
      <c r="D112" s="478" t="s">
        <v>240</v>
      </c>
    </row>
    <row r="113" spans="2:4">
      <c r="B113" s="478" t="s">
        <v>241</v>
      </c>
      <c r="C113" s="478">
        <v>0.4</v>
      </c>
      <c r="D113" s="478" t="s">
        <v>242</v>
      </c>
    </row>
    <row r="114" spans="2:4">
      <c r="B114" s="478" t="s">
        <v>243</v>
      </c>
      <c r="C114" s="478">
        <v>0.6</v>
      </c>
      <c r="D114" s="478" t="s">
        <v>244</v>
      </c>
    </row>
    <row r="115" spans="2:4">
      <c r="B115" s="483" t="s">
        <v>700</v>
      </c>
      <c r="C115" s="483"/>
      <c r="D115" s="483"/>
    </row>
    <row r="117" spans="2:4">
      <c r="B117" s="474" t="s">
        <v>208</v>
      </c>
    </row>
    <row r="118" spans="2:4">
      <c r="B118" s="463" t="s">
        <v>245</v>
      </c>
    </row>
    <row r="119" spans="2:4">
      <c r="B119" s="463" t="s">
        <v>246</v>
      </c>
    </row>
    <row r="120" spans="2:4">
      <c r="B120" s="476" t="s">
        <v>226</v>
      </c>
      <c r="C120" s="504" t="s">
        <v>247</v>
      </c>
      <c r="D120" s="476" t="s">
        <v>228</v>
      </c>
    </row>
    <row r="121" spans="2:4">
      <c r="B121" s="526" t="s">
        <v>489</v>
      </c>
      <c r="C121" s="478">
        <v>0</v>
      </c>
      <c r="D121" s="481" t="s">
        <v>866</v>
      </c>
    </row>
    <row r="122" spans="2:4">
      <c r="B122" s="526" t="s">
        <v>488</v>
      </c>
      <c r="C122" s="478">
        <v>0.1</v>
      </c>
      <c r="D122" s="481" t="s">
        <v>867</v>
      </c>
    </row>
    <row r="124" spans="2:4">
      <c r="B124" s="474" t="s">
        <v>209</v>
      </c>
    </row>
    <row r="125" spans="2:4">
      <c r="B125" s="463" t="s">
        <v>248</v>
      </c>
    </row>
    <row r="126" spans="2:4">
      <c r="B126" s="476"/>
      <c r="C126" s="476" t="s">
        <v>249</v>
      </c>
    </row>
    <row r="127" spans="2:4">
      <c r="B127" s="526" t="s">
        <v>250</v>
      </c>
      <c r="C127" s="478">
        <v>0.5</v>
      </c>
    </row>
    <row r="129" spans="2:14">
      <c r="B129" s="474" t="s">
        <v>701</v>
      </c>
    </row>
    <row r="130" spans="2:14">
      <c r="B130" s="463" t="s">
        <v>252</v>
      </c>
    </row>
    <row r="131" spans="2:14">
      <c r="B131" s="463" t="s">
        <v>708</v>
      </c>
      <c r="M131" s="487" t="s">
        <v>922</v>
      </c>
      <c r="N131" s="473"/>
    </row>
    <row r="132" spans="2:14" ht="38.25">
      <c r="B132" s="782" t="s">
        <v>253</v>
      </c>
      <c r="C132" s="504" t="s">
        <v>254</v>
      </c>
      <c r="D132" s="783" t="s">
        <v>512</v>
      </c>
      <c r="E132" s="783"/>
      <c r="F132" s="783" t="s">
        <v>513</v>
      </c>
      <c r="G132" s="783"/>
      <c r="H132" s="783" t="s">
        <v>255</v>
      </c>
      <c r="I132" s="783"/>
      <c r="J132" s="783" t="s">
        <v>256</v>
      </c>
      <c r="K132" s="783"/>
      <c r="M132" s="527" t="s">
        <v>702</v>
      </c>
      <c r="N132" s="527" t="s">
        <v>703</v>
      </c>
    </row>
    <row r="133" spans="2:14">
      <c r="B133" s="782"/>
      <c r="C133" s="476" t="s">
        <v>18</v>
      </c>
      <c r="D133" s="476" t="s">
        <v>18</v>
      </c>
      <c r="E133" s="476" t="s">
        <v>257</v>
      </c>
      <c r="F133" s="476" t="s">
        <v>18</v>
      </c>
      <c r="G133" s="476" t="s">
        <v>257</v>
      </c>
      <c r="H133" s="476" t="s">
        <v>18</v>
      </c>
      <c r="I133" s="476" t="s">
        <v>257</v>
      </c>
      <c r="J133" s="476" t="s">
        <v>18</v>
      </c>
      <c r="K133" s="476" t="s">
        <v>257</v>
      </c>
      <c r="M133" s="514" t="s">
        <v>18</v>
      </c>
      <c r="N133" s="514" t="s">
        <v>18</v>
      </c>
    </row>
    <row r="134" spans="2:14">
      <c r="B134" s="478" t="s">
        <v>258</v>
      </c>
      <c r="C134" s="528">
        <v>0.9</v>
      </c>
      <c r="D134" s="529">
        <v>0.4</v>
      </c>
      <c r="E134" s="530" t="s">
        <v>259</v>
      </c>
      <c r="F134" s="529">
        <v>0.44</v>
      </c>
      <c r="G134" s="530" t="s">
        <v>260</v>
      </c>
      <c r="H134" s="528">
        <v>0.46</v>
      </c>
      <c r="I134" s="530" t="s">
        <v>261</v>
      </c>
      <c r="J134" s="531">
        <v>0.01</v>
      </c>
      <c r="K134" s="530" t="s">
        <v>262</v>
      </c>
      <c r="M134" s="514">
        <f>+H134*C134</f>
        <v>0.41400000000000003</v>
      </c>
      <c r="N134" s="532">
        <f>+J134</f>
        <v>0.01</v>
      </c>
    </row>
    <row r="135" spans="2:14">
      <c r="B135" s="478" t="s">
        <v>55</v>
      </c>
      <c r="C135" s="528">
        <v>0.8</v>
      </c>
      <c r="D135" s="529">
        <v>0.24</v>
      </c>
      <c r="E135" s="530" t="s">
        <v>263</v>
      </c>
      <c r="F135" s="529">
        <v>0.3</v>
      </c>
      <c r="G135" s="530" t="s">
        <v>264</v>
      </c>
      <c r="H135" s="528">
        <v>0.5</v>
      </c>
      <c r="I135" s="530" t="s">
        <v>264</v>
      </c>
      <c r="J135" s="531">
        <v>0.2</v>
      </c>
      <c r="K135" s="530" t="s">
        <v>265</v>
      </c>
      <c r="M135" s="514">
        <f>+H135*C135</f>
        <v>0.4</v>
      </c>
      <c r="N135" s="532">
        <f>+J135</f>
        <v>0.2</v>
      </c>
    </row>
    <row r="136" spans="2:14">
      <c r="B136" s="478" t="s">
        <v>90</v>
      </c>
      <c r="C136" s="528">
        <v>0.4</v>
      </c>
      <c r="D136" s="529">
        <v>0.15</v>
      </c>
      <c r="E136" s="530" t="s">
        <v>266</v>
      </c>
      <c r="F136" s="529">
        <v>0.38</v>
      </c>
      <c r="G136" s="530" t="s">
        <v>267</v>
      </c>
      <c r="H136" s="528">
        <v>0.38</v>
      </c>
      <c r="I136" s="530" t="s">
        <v>267</v>
      </c>
      <c r="J136" s="531"/>
      <c r="K136" s="533"/>
      <c r="M136" s="514">
        <f>+H136*C136</f>
        <v>0.15200000000000002</v>
      </c>
      <c r="N136" s="532">
        <f>+J136</f>
        <v>0</v>
      </c>
    </row>
    <row r="137" spans="2:14">
      <c r="B137" s="478" t="s">
        <v>91</v>
      </c>
      <c r="C137" s="528">
        <v>0.85</v>
      </c>
      <c r="D137" s="529">
        <v>0.43</v>
      </c>
      <c r="E137" s="530" t="s">
        <v>268</v>
      </c>
      <c r="F137" s="529">
        <v>0.5</v>
      </c>
      <c r="G137" s="530" t="s">
        <v>269</v>
      </c>
      <c r="H137" s="528">
        <v>0.5</v>
      </c>
      <c r="I137" s="530" t="s">
        <v>269</v>
      </c>
      <c r="J137" s="531"/>
      <c r="K137" s="533"/>
      <c r="M137" s="514">
        <f>+H137*C137</f>
        <v>0.42499999999999999</v>
      </c>
      <c r="N137" s="532">
        <f>+J137</f>
        <v>0</v>
      </c>
    </row>
    <row r="138" spans="2:14">
      <c r="B138" s="478" t="s">
        <v>99</v>
      </c>
      <c r="C138" s="528">
        <v>0.4</v>
      </c>
      <c r="D138" s="529">
        <v>0.2</v>
      </c>
      <c r="E138" s="530" t="s">
        <v>270</v>
      </c>
      <c r="F138" s="529">
        <v>0.49</v>
      </c>
      <c r="G138" s="530" t="s">
        <v>271</v>
      </c>
      <c r="H138" s="528">
        <v>0.49</v>
      </c>
      <c r="I138" s="530" t="s">
        <v>271</v>
      </c>
      <c r="J138" s="531">
        <v>0</v>
      </c>
      <c r="K138" s="533">
        <v>0</v>
      </c>
      <c r="M138" s="514">
        <f t="shared" ref="M138:M141" si="4">+H138*C138</f>
        <v>0.19600000000000001</v>
      </c>
      <c r="N138" s="532">
        <f t="shared" ref="N138:N141" si="5">+J138</f>
        <v>0</v>
      </c>
    </row>
    <row r="139" spans="2:14">
      <c r="B139" s="478" t="s">
        <v>272</v>
      </c>
      <c r="C139" s="528">
        <v>0.4</v>
      </c>
      <c r="D139" s="529">
        <v>0.24</v>
      </c>
      <c r="E139" s="530" t="s">
        <v>273</v>
      </c>
      <c r="F139" s="529">
        <v>0.6</v>
      </c>
      <c r="G139" s="530" t="s">
        <v>274</v>
      </c>
      <c r="H139" s="528">
        <v>0.7</v>
      </c>
      <c r="I139" s="530" t="s">
        <v>275</v>
      </c>
      <c r="J139" s="531">
        <v>0.1</v>
      </c>
      <c r="K139" s="533">
        <v>0.1</v>
      </c>
      <c r="M139" s="514">
        <f>+H139*C139</f>
        <v>0.27999999999999997</v>
      </c>
      <c r="N139" s="532">
        <f>+J139</f>
        <v>0.1</v>
      </c>
    </row>
    <row r="140" spans="2:14">
      <c r="B140" s="478" t="s">
        <v>199</v>
      </c>
      <c r="C140" s="528">
        <v>0.84</v>
      </c>
      <c r="D140" s="530">
        <v>0.39</v>
      </c>
      <c r="E140" s="530">
        <v>0.39</v>
      </c>
      <c r="F140" s="534">
        <v>0.47</v>
      </c>
      <c r="G140" s="534">
        <v>0.47</v>
      </c>
      <c r="H140" s="528">
        <v>0.67</v>
      </c>
      <c r="I140" s="533">
        <v>0.67</v>
      </c>
      <c r="J140" s="531">
        <v>0.2</v>
      </c>
      <c r="K140" s="533">
        <v>0.2</v>
      </c>
      <c r="M140" s="514">
        <f>+H140*C140</f>
        <v>0.56279999999999997</v>
      </c>
      <c r="N140" s="532">
        <f>+J140</f>
        <v>0.2</v>
      </c>
    </row>
    <row r="141" spans="2:14">
      <c r="B141" s="478" t="s">
        <v>21</v>
      </c>
      <c r="C141" s="528">
        <v>1</v>
      </c>
      <c r="D141" s="529"/>
      <c r="E141" s="529"/>
      <c r="F141" s="529"/>
      <c r="G141" s="529"/>
      <c r="H141" s="528">
        <v>0.75</v>
      </c>
      <c r="I141" s="530" t="s">
        <v>276</v>
      </c>
      <c r="J141" s="531">
        <v>1</v>
      </c>
      <c r="K141" s="530" t="s">
        <v>277</v>
      </c>
      <c r="M141" s="514">
        <f t="shared" si="4"/>
        <v>0.75</v>
      </c>
      <c r="N141" s="532">
        <f t="shared" si="5"/>
        <v>1</v>
      </c>
    </row>
    <row r="142" spans="2:14">
      <c r="B142" s="478" t="s">
        <v>200</v>
      </c>
      <c r="C142" s="528">
        <v>1</v>
      </c>
      <c r="D142" s="529"/>
      <c r="E142" s="529"/>
      <c r="F142" s="529"/>
      <c r="G142" s="529"/>
      <c r="H142" s="528" t="s">
        <v>278</v>
      </c>
      <c r="I142" s="529" t="s">
        <v>278</v>
      </c>
      <c r="J142" s="531" t="s">
        <v>278</v>
      </c>
      <c r="K142" s="533" t="s">
        <v>278</v>
      </c>
      <c r="M142" s="514">
        <v>0</v>
      </c>
      <c r="N142" s="532">
        <v>0</v>
      </c>
    </row>
    <row r="143" spans="2:14">
      <c r="B143" s="478" t="s">
        <v>22</v>
      </c>
      <c r="C143" s="528">
        <v>1</v>
      </c>
      <c r="D143" s="529"/>
      <c r="E143" s="529"/>
      <c r="F143" s="529"/>
      <c r="G143" s="529"/>
      <c r="H143" s="528" t="s">
        <v>278</v>
      </c>
      <c r="I143" s="529" t="s">
        <v>278</v>
      </c>
      <c r="J143" s="531" t="s">
        <v>278</v>
      </c>
      <c r="K143" s="533" t="s">
        <v>278</v>
      </c>
      <c r="M143" s="514">
        <v>0</v>
      </c>
      <c r="N143" s="532">
        <v>0</v>
      </c>
    </row>
    <row r="144" spans="2:14">
      <c r="B144" s="478" t="s">
        <v>705</v>
      </c>
      <c r="C144" s="528">
        <v>0.9</v>
      </c>
      <c r="D144" s="529"/>
      <c r="E144" s="529"/>
      <c r="F144" s="529"/>
      <c r="G144" s="529"/>
      <c r="H144" s="528">
        <v>0.03</v>
      </c>
      <c r="I144" s="535" t="s">
        <v>262</v>
      </c>
      <c r="J144" s="531">
        <v>1</v>
      </c>
      <c r="K144" s="530" t="s">
        <v>279</v>
      </c>
      <c r="M144" s="514">
        <f>+H144*C144</f>
        <v>2.7E-2</v>
      </c>
      <c r="N144" s="532">
        <f>+J144</f>
        <v>1</v>
      </c>
    </row>
    <row r="145" spans="1:27">
      <c r="A145" s="483"/>
      <c r="B145" s="536"/>
      <c r="C145" s="483"/>
    </row>
    <row r="147" spans="1:27">
      <c r="B147" s="537" t="s">
        <v>495</v>
      </c>
      <c r="C147" s="538" t="s">
        <v>280</v>
      </c>
      <c r="D147" s="539"/>
      <c r="E147" s="540"/>
    </row>
    <row r="148" spans="1:27">
      <c r="B148" s="541" t="s">
        <v>494</v>
      </c>
      <c r="C148" s="542"/>
      <c r="D148" s="539"/>
      <c r="E148" s="543"/>
    </row>
    <row r="149" spans="1:27">
      <c r="B149" s="541" t="s">
        <v>496</v>
      </c>
      <c r="C149" s="542"/>
      <c r="D149" s="539"/>
      <c r="E149" s="543"/>
    </row>
    <row r="150" spans="1:27">
      <c r="B150" s="544">
        <v>0.2</v>
      </c>
      <c r="C150" s="130" t="s">
        <v>492</v>
      </c>
      <c r="D150" s="539"/>
      <c r="E150" s="543"/>
    </row>
    <row r="151" spans="1:27">
      <c r="B151" s="545">
        <v>0.35</v>
      </c>
      <c r="C151" s="546" t="s">
        <v>493</v>
      </c>
      <c r="D151" s="539"/>
      <c r="E151" s="543"/>
    </row>
    <row r="152" spans="1:27" s="484" customFormat="1" ht="13.5" thickBot="1"/>
    <row r="153" spans="1:27">
      <c r="A153" s="470" t="s">
        <v>830</v>
      </c>
      <c r="B153" s="547" t="s">
        <v>667</v>
      </c>
      <c r="C153" s="125"/>
      <c r="D153" s="125"/>
      <c r="E153" s="125"/>
      <c r="F153" s="125"/>
      <c r="G153" s="125"/>
      <c r="H153" s="125"/>
      <c r="I153" s="125"/>
      <c r="J153" s="125"/>
      <c r="K153" s="125"/>
      <c r="L153" s="125"/>
      <c r="M153" s="125"/>
      <c r="Q153" s="460"/>
      <c r="R153" s="460"/>
      <c r="S153" s="460"/>
      <c r="T153" s="460"/>
      <c r="U153" s="460"/>
      <c r="V153" s="460"/>
      <c r="W153" s="460"/>
      <c r="X153" s="460"/>
    </row>
    <row r="154" spans="1:27">
      <c r="B154" s="463" t="s">
        <v>659</v>
      </c>
      <c r="C154" s="468" t="s">
        <v>940</v>
      </c>
      <c r="D154" s="125"/>
      <c r="F154" s="117" t="s">
        <v>644</v>
      </c>
      <c r="G154" s="125"/>
      <c r="H154" s="125"/>
      <c r="I154" s="125"/>
      <c r="J154" s="125"/>
      <c r="K154" s="125"/>
      <c r="L154" s="125"/>
      <c r="N154" s="125"/>
      <c r="O154" s="125"/>
      <c r="P154" s="548" t="s">
        <v>660</v>
      </c>
      <c r="Q154" s="549"/>
      <c r="R154" s="124"/>
      <c r="S154" s="460"/>
      <c r="T154" s="549"/>
      <c r="W154" s="460"/>
      <c r="X154" s="460"/>
    </row>
    <row r="155" spans="1:27">
      <c r="B155" s="463" t="s">
        <v>203</v>
      </c>
      <c r="C155" s="125" t="s">
        <v>283</v>
      </c>
      <c r="D155" s="125"/>
      <c r="E155" s="125"/>
      <c r="F155" s="125" t="s">
        <v>505</v>
      </c>
      <c r="G155" s="125"/>
      <c r="H155" s="125"/>
      <c r="I155" s="125"/>
      <c r="L155" s="125"/>
      <c r="N155" s="125"/>
      <c r="O155" s="125"/>
      <c r="P155" s="463" t="s">
        <v>983</v>
      </c>
      <c r="Q155" s="549"/>
      <c r="R155" s="124"/>
      <c r="S155" s="460"/>
      <c r="T155" s="549"/>
      <c r="W155" s="460"/>
      <c r="X155" s="460"/>
    </row>
    <row r="156" spans="1:27">
      <c r="B156" s="468" t="s">
        <v>469</v>
      </c>
      <c r="C156" s="125" t="s">
        <v>362</v>
      </c>
      <c r="D156" s="125"/>
      <c r="E156" s="125"/>
      <c r="F156" s="125" t="s">
        <v>363</v>
      </c>
      <c r="I156" s="125"/>
      <c r="J156" s="125"/>
      <c r="K156" s="125"/>
      <c r="L156" s="125"/>
      <c r="N156" s="125"/>
      <c r="O156" s="125"/>
      <c r="P156" s="463" t="s">
        <v>982</v>
      </c>
      <c r="Q156" s="549"/>
      <c r="R156" s="124"/>
      <c r="S156" s="460"/>
      <c r="T156" s="549"/>
      <c r="W156" s="460"/>
      <c r="X156" s="460"/>
    </row>
    <row r="157" spans="1:27" ht="13.5" thickBot="1">
      <c r="B157" s="468" t="s">
        <v>25</v>
      </c>
      <c r="C157" s="125" t="s">
        <v>664</v>
      </c>
      <c r="D157" s="125"/>
      <c r="F157" s="118" t="s">
        <v>665</v>
      </c>
      <c r="H157" s="125"/>
      <c r="I157" s="125"/>
      <c r="J157" s="125"/>
      <c r="K157" s="125"/>
      <c r="L157" s="125"/>
      <c r="N157" s="125"/>
      <c r="O157" s="125"/>
      <c r="P157" s="463" t="s">
        <v>920</v>
      </c>
      <c r="Q157" s="549"/>
      <c r="R157" s="124"/>
      <c r="S157" s="460"/>
      <c r="T157" s="549"/>
      <c r="W157" s="460"/>
      <c r="X157" s="460"/>
    </row>
    <row r="158" spans="1:27" ht="63.75">
      <c r="B158" s="121" t="s">
        <v>651</v>
      </c>
      <c r="C158" s="550" t="s">
        <v>652</v>
      </c>
      <c r="D158" s="121"/>
      <c r="E158" s="551"/>
      <c r="F158" s="551" t="s">
        <v>364</v>
      </c>
      <c r="G158" s="552" t="s">
        <v>654</v>
      </c>
      <c r="H158" s="552" t="s">
        <v>655</v>
      </c>
      <c r="I158" s="552" t="s">
        <v>656</v>
      </c>
      <c r="J158" s="552" t="s">
        <v>657</v>
      </c>
      <c r="K158" s="552" t="s">
        <v>658</v>
      </c>
      <c r="L158" s="121"/>
      <c r="M158" s="553" t="s">
        <v>203</v>
      </c>
      <c r="N158" s="554" t="s">
        <v>90</v>
      </c>
      <c r="O158" s="554" t="s">
        <v>197</v>
      </c>
      <c r="P158" s="554" t="s">
        <v>198</v>
      </c>
      <c r="Q158" s="554" t="s">
        <v>91</v>
      </c>
      <c r="R158" s="554" t="s">
        <v>55</v>
      </c>
      <c r="S158" s="555" t="s">
        <v>98</v>
      </c>
      <c r="T158" s="554" t="s">
        <v>199</v>
      </c>
      <c r="U158" s="554" t="s">
        <v>21</v>
      </c>
      <c r="V158" s="554" t="s">
        <v>200</v>
      </c>
      <c r="W158" s="554" t="s">
        <v>201</v>
      </c>
      <c r="X158" s="554" t="s">
        <v>202</v>
      </c>
      <c r="Z158" s="556" t="s">
        <v>662</v>
      </c>
      <c r="AA158" s="121"/>
    </row>
    <row r="159" spans="1:27">
      <c r="B159" s="684" t="s">
        <v>561</v>
      </c>
      <c r="C159" s="557">
        <v>193.24767053546748</v>
      </c>
      <c r="D159" s="402" t="s">
        <v>653</v>
      </c>
      <c r="E159" s="130"/>
      <c r="F159" s="558">
        <f>F408</f>
        <v>0.5</v>
      </c>
      <c r="G159" s="93"/>
      <c r="H159" s="93"/>
      <c r="I159" s="93"/>
      <c r="J159" s="93"/>
      <c r="K159" s="93"/>
      <c r="L159" s="380" t="str">
        <f>M408</f>
        <v>Southern_Asia</v>
      </c>
      <c r="M159" s="378"/>
      <c r="N159" s="559">
        <f>N408</f>
        <v>0.66100000000000003</v>
      </c>
      <c r="O159" s="559">
        <f t="shared" ref="O159:W159" si="6">O408</f>
        <v>0</v>
      </c>
      <c r="P159" s="559">
        <f t="shared" si="6"/>
        <v>9.1999999999999998E-2</v>
      </c>
      <c r="Q159" s="559">
        <f t="shared" si="6"/>
        <v>0</v>
      </c>
      <c r="R159" s="559">
        <f t="shared" si="6"/>
        <v>1.2E-2</v>
      </c>
      <c r="S159" s="559">
        <f t="shared" si="6"/>
        <v>0</v>
      </c>
      <c r="T159" s="559">
        <f t="shared" si="6"/>
        <v>4.0000000000000001E-3</v>
      </c>
      <c r="U159" s="559">
        <f t="shared" si="6"/>
        <v>7.0000000000000007E-2</v>
      </c>
      <c r="V159" s="559">
        <f t="shared" si="6"/>
        <v>8.9999999999999993E-3</v>
      </c>
      <c r="W159" s="559">
        <f t="shared" si="6"/>
        <v>1.4999999999999999E-2</v>
      </c>
      <c r="X159" s="559">
        <f>X408</f>
        <v>0.13900000000000001</v>
      </c>
      <c r="Y159" s="125" t="s">
        <v>653</v>
      </c>
      <c r="Z159" s="130">
        <v>39.799999999999997</v>
      </c>
      <c r="AA159" s="125"/>
    </row>
    <row r="160" spans="1:27">
      <c r="B160" s="684" t="s">
        <v>562</v>
      </c>
      <c r="C160" s="557">
        <v>0</v>
      </c>
      <c r="D160" s="402" t="s">
        <v>653</v>
      </c>
      <c r="E160" s="130"/>
      <c r="F160" s="558">
        <f>F409</f>
        <v>0.47</v>
      </c>
      <c r="G160" s="93"/>
      <c r="H160" s="93"/>
      <c r="I160" s="93"/>
      <c r="J160" s="93"/>
      <c r="K160" s="93"/>
      <c r="L160" s="380" t="str">
        <f>M409</f>
        <v>Southern_Europe</v>
      </c>
      <c r="M160" s="378"/>
      <c r="N160" s="559">
        <f>N409</f>
        <v>0.35799999999999998</v>
      </c>
      <c r="O160" s="559">
        <f t="shared" ref="O160:X160" si="7">O409</f>
        <v>1.4E-2</v>
      </c>
      <c r="P160" s="559">
        <f t="shared" si="7"/>
        <v>0.214</v>
      </c>
      <c r="Q160" s="559">
        <f t="shared" si="7"/>
        <v>1.2E-2</v>
      </c>
      <c r="R160" s="559">
        <f t="shared" si="7"/>
        <v>2.8000000000000001E-2</v>
      </c>
      <c r="S160" s="559">
        <f t="shared" si="7"/>
        <v>1.0999999999999999E-2</v>
      </c>
      <c r="T160" s="559">
        <f t="shared" si="7"/>
        <v>2E-3</v>
      </c>
      <c r="U160" s="559">
        <f t="shared" si="7"/>
        <v>0.14099999999999999</v>
      </c>
      <c r="V160" s="559">
        <f t="shared" si="7"/>
        <v>0.02</v>
      </c>
      <c r="W160" s="559">
        <f t="shared" si="7"/>
        <v>3.5000000000000003E-2</v>
      </c>
      <c r="X160" s="559">
        <f t="shared" si="7"/>
        <v>0.16700000000000001</v>
      </c>
      <c r="Y160" s="125" t="s">
        <v>653</v>
      </c>
      <c r="Z160" s="130">
        <v>2.8</v>
      </c>
      <c r="AA160" s="125"/>
    </row>
    <row r="161" spans="2:27">
      <c r="B161" s="684" t="s">
        <v>383</v>
      </c>
      <c r="C161" s="557">
        <v>397.35996599998509</v>
      </c>
      <c r="D161" s="402"/>
      <c r="E161" s="560" t="s">
        <v>383</v>
      </c>
      <c r="F161" s="93">
        <v>0.44</v>
      </c>
      <c r="G161" s="529">
        <v>0.97</v>
      </c>
      <c r="H161" s="529">
        <v>0</v>
      </c>
      <c r="I161" s="529">
        <v>0</v>
      </c>
      <c r="J161" s="529">
        <v>0.01</v>
      </c>
      <c r="K161" s="529">
        <v>0.02</v>
      </c>
      <c r="L161" s="125" t="str">
        <f>M400</f>
        <v>Northern_Africa</v>
      </c>
      <c r="M161" s="378"/>
      <c r="N161" s="559">
        <f t="shared" ref="N161:X161" si="8">N400</f>
        <v>0.504</v>
      </c>
      <c r="O161" s="559">
        <f t="shared" si="8"/>
        <v>0</v>
      </c>
      <c r="P161" s="559">
        <f t="shared" si="8"/>
        <v>0.121</v>
      </c>
      <c r="Q161" s="559">
        <f t="shared" si="8"/>
        <v>0</v>
      </c>
      <c r="R161" s="559">
        <f t="shared" si="8"/>
        <v>5.8000000000000003E-2</v>
      </c>
      <c r="S161" s="559">
        <f t="shared" si="8"/>
        <v>0</v>
      </c>
      <c r="T161" s="559">
        <f t="shared" si="8"/>
        <v>0</v>
      </c>
      <c r="U161" s="559">
        <f t="shared" si="8"/>
        <v>0.13800000000000001</v>
      </c>
      <c r="V161" s="559">
        <f t="shared" si="8"/>
        <v>4.3999999999999997E-2</v>
      </c>
      <c r="W161" s="559">
        <f t="shared" si="8"/>
        <v>3.3000000000000002E-2</v>
      </c>
      <c r="X161" s="559">
        <f t="shared" si="8"/>
        <v>0.105</v>
      </c>
      <c r="Y161" s="125" t="s">
        <v>653</v>
      </c>
      <c r="Z161" s="130">
        <v>45.1</v>
      </c>
      <c r="AA161" s="125"/>
    </row>
    <row r="162" spans="2:27">
      <c r="B162" s="684" t="s">
        <v>563</v>
      </c>
      <c r="C162" s="557">
        <v>515.85178606230511</v>
      </c>
      <c r="D162" s="402" t="s">
        <v>653</v>
      </c>
      <c r="E162" s="130"/>
      <c r="F162" s="558">
        <f>F403</f>
        <v>0.6</v>
      </c>
      <c r="G162" s="93"/>
      <c r="H162" s="93"/>
      <c r="I162" s="93"/>
      <c r="J162" s="93"/>
      <c r="K162" s="93"/>
      <c r="L162" s="380" t="str">
        <f>M403</f>
        <v>Oceania</v>
      </c>
      <c r="M162" s="378"/>
      <c r="N162" s="559">
        <f>N403</f>
        <v>0.25900000000000001</v>
      </c>
      <c r="O162" s="559">
        <f t="shared" ref="O162:X162" si="9">O403</f>
        <v>0.122</v>
      </c>
      <c r="P162" s="559">
        <f t="shared" si="9"/>
        <v>0.12</v>
      </c>
      <c r="Q162" s="559">
        <f t="shared" si="9"/>
        <v>6.5000000000000002E-2</v>
      </c>
      <c r="R162" s="559">
        <f t="shared" si="9"/>
        <v>2.9499999999999998E-2</v>
      </c>
      <c r="S162" s="559">
        <f t="shared" si="9"/>
        <v>3.5000000000000003E-2</v>
      </c>
      <c r="T162" s="559">
        <f t="shared" si="9"/>
        <v>0</v>
      </c>
      <c r="U162" s="559">
        <f t="shared" si="9"/>
        <v>8.3000000000000004E-2</v>
      </c>
      <c r="V162" s="559">
        <f t="shared" si="9"/>
        <v>1.7999999999999999E-2</v>
      </c>
      <c r="W162" s="559">
        <f t="shared" si="9"/>
        <v>2.8000000000000001E-2</v>
      </c>
      <c r="X162" s="559">
        <f t="shared" si="9"/>
        <v>0.24099999999999999</v>
      </c>
      <c r="Y162" s="124" t="s">
        <v>653</v>
      </c>
      <c r="Z162" s="130"/>
      <c r="AA162" s="125"/>
    </row>
    <row r="163" spans="2:27">
      <c r="B163" s="684" t="s">
        <v>564</v>
      </c>
      <c r="C163" s="557">
        <v>69.673849573517401</v>
      </c>
      <c r="D163" s="402" t="s">
        <v>653</v>
      </c>
      <c r="E163" s="130"/>
      <c r="F163" s="558">
        <f>F409</f>
        <v>0.47</v>
      </c>
      <c r="G163" s="93"/>
      <c r="H163" s="93"/>
      <c r="I163" s="93"/>
      <c r="J163" s="93"/>
      <c r="K163" s="93"/>
      <c r="L163" s="380" t="str">
        <f>M409</f>
        <v>Southern_Europe</v>
      </c>
      <c r="M163" s="378"/>
      <c r="N163" s="559">
        <f>N409</f>
        <v>0.35799999999999998</v>
      </c>
      <c r="O163" s="559">
        <f t="shared" ref="O163:X163" si="10">O409</f>
        <v>1.4E-2</v>
      </c>
      <c r="P163" s="559">
        <f t="shared" si="10"/>
        <v>0.214</v>
      </c>
      <c r="Q163" s="559">
        <f t="shared" si="10"/>
        <v>1.2E-2</v>
      </c>
      <c r="R163" s="559">
        <f t="shared" si="10"/>
        <v>2.8000000000000001E-2</v>
      </c>
      <c r="S163" s="559">
        <f t="shared" si="10"/>
        <v>1.0999999999999999E-2</v>
      </c>
      <c r="T163" s="559">
        <f t="shared" si="10"/>
        <v>2E-3</v>
      </c>
      <c r="U163" s="559">
        <f t="shared" si="10"/>
        <v>0.14099999999999999</v>
      </c>
      <c r="V163" s="559">
        <f t="shared" si="10"/>
        <v>0.02</v>
      </c>
      <c r="W163" s="559">
        <f t="shared" si="10"/>
        <v>3.5000000000000003E-2</v>
      </c>
      <c r="X163" s="559">
        <f t="shared" si="10"/>
        <v>0.16700000000000001</v>
      </c>
      <c r="Y163" s="124" t="s">
        <v>653</v>
      </c>
      <c r="Z163" s="130">
        <v>0.08</v>
      </c>
      <c r="AA163" s="125"/>
    </row>
    <row r="164" spans="2:27">
      <c r="B164" s="684" t="s">
        <v>398</v>
      </c>
      <c r="C164" s="557">
        <v>747.69930024477492</v>
      </c>
      <c r="D164" s="402"/>
      <c r="E164" s="560" t="s">
        <v>398</v>
      </c>
      <c r="F164" s="93">
        <v>0.18</v>
      </c>
      <c r="G164" s="93"/>
      <c r="H164" s="93"/>
      <c r="I164" s="93"/>
      <c r="J164" s="93"/>
      <c r="K164" s="93"/>
      <c r="L164" s="125" t="str">
        <f>M399</f>
        <v>Middle_Africa</v>
      </c>
      <c r="M164" s="378"/>
      <c r="N164" s="559">
        <f t="shared" ref="N164:X164" si="11">N399</f>
        <v>0.28399999999999997</v>
      </c>
      <c r="O164" s="559">
        <f t="shared" si="11"/>
        <v>0</v>
      </c>
      <c r="P164" s="559">
        <f t="shared" si="11"/>
        <v>0.08</v>
      </c>
      <c r="Q164" s="559">
        <f t="shared" si="11"/>
        <v>0</v>
      </c>
      <c r="R164" s="559">
        <f t="shared" si="11"/>
        <v>1.2999999999999999E-2</v>
      </c>
      <c r="S164" s="559">
        <f t="shared" si="11"/>
        <v>0</v>
      </c>
      <c r="T164" s="559">
        <f t="shared" si="11"/>
        <v>0</v>
      </c>
      <c r="U164" s="559">
        <f t="shared" si="11"/>
        <v>7.0999999999999994E-2</v>
      </c>
      <c r="V164" s="559">
        <f t="shared" si="11"/>
        <v>1.4E-2</v>
      </c>
      <c r="W164" s="559">
        <f t="shared" si="11"/>
        <v>1.0999999999999999E-2</v>
      </c>
      <c r="X164" s="559">
        <f t="shared" si="11"/>
        <v>0.52700000000000002</v>
      </c>
      <c r="Y164" s="125" t="s">
        <v>653</v>
      </c>
      <c r="Z164" s="130">
        <v>33.6</v>
      </c>
      <c r="AA164" s="125"/>
    </row>
    <row r="165" spans="2:27">
      <c r="B165" s="684" t="s">
        <v>565</v>
      </c>
      <c r="C165" s="557">
        <v>471.54055157656489</v>
      </c>
      <c r="D165" s="402"/>
      <c r="E165" s="130" t="s">
        <v>431</v>
      </c>
      <c r="F165" s="93">
        <v>1.1000000000000001</v>
      </c>
      <c r="G165" s="529">
        <v>0</v>
      </c>
      <c r="H165" s="529">
        <v>1</v>
      </c>
      <c r="I165" s="529">
        <v>0</v>
      </c>
      <c r="J165" s="529">
        <v>0</v>
      </c>
      <c r="K165" s="529">
        <v>0</v>
      </c>
      <c r="L165" s="125" t="str">
        <f>M393</f>
        <v>Central_America</v>
      </c>
      <c r="M165" s="378"/>
      <c r="N165" s="559">
        <f t="shared" ref="N165:X165" si="12">N393</f>
        <v>0.627</v>
      </c>
      <c r="O165" s="559">
        <f t="shared" si="12"/>
        <v>0</v>
      </c>
      <c r="P165" s="559">
        <f t="shared" si="12"/>
        <v>0.126</v>
      </c>
      <c r="Q165" s="559">
        <f t="shared" si="12"/>
        <v>3.0000000000000001E-3</v>
      </c>
      <c r="R165" s="559">
        <f t="shared" si="12"/>
        <v>2.1999999999999999E-2</v>
      </c>
      <c r="S165" s="559">
        <f t="shared" si="12"/>
        <v>0</v>
      </c>
      <c r="T165" s="559">
        <f t="shared" si="12"/>
        <v>0</v>
      </c>
      <c r="U165" s="559">
        <f t="shared" si="12"/>
        <v>0.10299999999999999</v>
      </c>
      <c r="V165" s="559">
        <f t="shared" si="12"/>
        <v>2.7E-2</v>
      </c>
      <c r="W165" s="559">
        <f t="shared" si="12"/>
        <v>3.3000000000000002E-2</v>
      </c>
      <c r="X165" s="559">
        <f t="shared" si="12"/>
        <v>0.06</v>
      </c>
      <c r="Y165" s="125" t="s">
        <v>653</v>
      </c>
      <c r="Z165" s="130"/>
      <c r="AA165" s="125"/>
    </row>
    <row r="166" spans="2:27">
      <c r="B166" s="684" t="s">
        <v>432</v>
      </c>
      <c r="C166" s="557">
        <v>489.36326941013635</v>
      </c>
      <c r="D166" s="402"/>
      <c r="E166" s="130" t="s">
        <v>432</v>
      </c>
      <c r="F166" s="93">
        <v>1.39</v>
      </c>
      <c r="G166" s="529">
        <v>0</v>
      </c>
      <c r="H166" s="529">
        <v>1</v>
      </c>
      <c r="I166" s="529">
        <v>0</v>
      </c>
      <c r="J166" s="529">
        <v>0</v>
      </c>
      <c r="K166" s="529">
        <v>0</v>
      </c>
      <c r="L166" s="125" t="str">
        <f>M393</f>
        <v>Central_America</v>
      </c>
      <c r="M166" s="378"/>
      <c r="N166" s="559">
        <f t="shared" ref="N166:X166" si="13">N393</f>
        <v>0.627</v>
      </c>
      <c r="O166" s="559">
        <f t="shared" si="13"/>
        <v>0</v>
      </c>
      <c r="P166" s="559">
        <f t="shared" si="13"/>
        <v>0.126</v>
      </c>
      <c r="Q166" s="559">
        <f t="shared" si="13"/>
        <v>3.0000000000000001E-3</v>
      </c>
      <c r="R166" s="559">
        <f t="shared" si="13"/>
        <v>2.1999999999999999E-2</v>
      </c>
      <c r="S166" s="559">
        <f t="shared" si="13"/>
        <v>0</v>
      </c>
      <c r="T166" s="559">
        <f t="shared" si="13"/>
        <v>0</v>
      </c>
      <c r="U166" s="559">
        <f t="shared" si="13"/>
        <v>0.10299999999999999</v>
      </c>
      <c r="V166" s="559">
        <f t="shared" si="13"/>
        <v>2.7E-2</v>
      </c>
      <c r="W166" s="559">
        <f t="shared" si="13"/>
        <v>3.3000000000000002E-2</v>
      </c>
      <c r="X166" s="559">
        <f t="shared" si="13"/>
        <v>0.06</v>
      </c>
      <c r="Y166" s="125" t="s">
        <v>653</v>
      </c>
      <c r="Z166" s="130">
        <v>0.1</v>
      </c>
      <c r="AA166" s="125"/>
    </row>
    <row r="167" spans="2:27">
      <c r="B167" s="684" t="s">
        <v>356</v>
      </c>
      <c r="C167" s="557">
        <v>288.18336045538854</v>
      </c>
      <c r="D167" s="402"/>
      <c r="E167" s="130" t="s">
        <v>356</v>
      </c>
      <c r="F167" s="93">
        <v>0.37</v>
      </c>
      <c r="G167" s="93"/>
      <c r="H167" s="93"/>
      <c r="I167" s="93"/>
      <c r="J167" s="93"/>
      <c r="K167" s="93"/>
      <c r="L167" s="125" t="str">
        <f>M405</f>
        <v>South_America</v>
      </c>
      <c r="M167" s="130" t="s">
        <v>356</v>
      </c>
      <c r="N167" s="561">
        <v>0.38800000000000001</v>
      </c>
      <c r="O167" s="561">
        <v>0.1</v>
      </c>
      <c r="P167" s="561">
        <v>0.13700000000000001</v>
      </c>
      <c r="Q167" s="561">
        <v>0</v>
      </c>
      <c r="R167" s="561">
        <v>0.05</v>
      </c>
      <c r="S167" s="561">
        <v>5.7000000000000002E-2</v>
      </c>
      <c r="T167" s="561">
        <v>1.9E-2</v>
      </c>
      <c r="U167" s="561">
        <v>0.14599999999999999</v>
      </c>
      <c r="V167" s="561">
        <v>1.7999999999999999E-2</v>
      </c>
      <c r="W167" s="561">
        <v>3.1E-2</v>
      </c>
      <c r="X167" s="561">
        <v>5.2999999999999999E-2</v>
      </c>
      <c r="Y167" s="125"/>
      <c r="Z167" s="130">
        <v>45.7</v>
      </c>
      <c r="AA167" s="125"/>
    </row>
    <row r="168" spans="2:27">
      <c r="B168" s="684" t="s">
        <v>374</v>
      </c>
      <c r="C168" s="557">
        <v>204.54483749672869</v>
      </c>
      <c r="D168" s="402"/>
      <c r="E168" s="560" t="s">
        <v>374</v>
      </c>
      <c r="F168" s="93">
        <v>0.25</v>
      </c>
      <c r="G168" s="529">
        <v>0</v>
      </c>
      <c r="H168" s="529">
        <v>1</v>
      </c>
      <c r="I168" s="529">
        <v>0</v>
      </c>
      <c r="J168" s="529">
        <v>0</v>
      </c>
      <c r="K168" s="529">
        <v>0</v>
      </c>
      <c r="L168" s="125" t="str">
        <f>M411</f>
        <v>Western_Asia</v>
      </c>
      <c r="M168" s="130"/>
      <c r="N168" s="562">
        <f t="shared" ref="N168:X168" si="14">N411</f>
        <v>0.42199999999999999</v>
      </c>
      <c r="O168" s="562">
        <f t="shared" si="14"/>
        <v>3.2000000000000001E-2</v>
      </c>
      <c r="P168" s="562">
        <f t="shared" si="14"/>
        <v>0.153</v>
      </c>
      <c r="Q168" s="562">
        <f t="shared" si="14"/>
        <v>8.0000000000000002E-3</v>
      </c>
      <c r="R168" s="562">
        <f t="shared" si="14"/>
        <v>0.03</v>
      </c>
      <c r="S168" s="562">
        <f t="shared" si="14"/>
        <v>4.0000000000000001E-3</v>
      </c>
      <c r="T168" s="562">
        <f t="shared" si="14"/>
        <v>3.0000000000000001E-3</v>
      </c>
      <c r="U168" s="562">
        <f t="shared" si="14"/>
        <v>0.17199999999999999</v>
      </c>
      <c r="V168" s="562">
        <f t="shared" si="14"/>
        <v>2.5000000000000001E-2</v>
      </c>
      <c r="W168" s="562">
        <f t="shared" si="14"/>
        <v>3.4000000000000002E-2</v>
      </c>
      <c r="X168" s="562">
        <f t="shared" si="14"/>
        <v>0.11799999999999999</v>
      </c>
      <c r="Y168" s="125" t="s">
        <v>653</v>
      </c>
      <c r="Z168" s="130">
        <v>3</v>
      </c>
      <c r="AA168" s="125"/>
    </row>
    <row r="169" spans="2:27">
      <c r="B169" s="684" t="s">
        <v>566</v>
      </c>
      <c r="C169" s="557">
        <v>421.10279162662789</v>
      </c>
      <c r="D169" s="402" t="s">
        <v>653</v>
      </c>
      <c r="E169" s="130"/>
      <c r="F169" s="558">
        <f>F405</f>
        <v>0.43</v>
      </c>
      <c r="G169" s="93"/>
      <c r="H169" s="93"/>
      <c r="I169" s="93"/>
      <c r="J169" s="93"/>
      <c r="K169" s="93"/>
      <c r="L169" s="380" t="str">
        <f>M405</f>
        <v>South_America</v>
      </c>
      <c r="M169" s="130"/>
      <c r="N169" s="562">
        <f>N405</f>
        <v>0.54100000000000004</v>
      </c>
      <c r="O169" s="562">
        <f t="shared" ref="O169:X169" si="15">O405</f>
        <v>3.3000000000000002E-2</v>
      </c>
      <c r="P169" s="562">
        <f t="shared" si="15"/>
        <v>0.124</v>
      </c>
      <c r="Q169" s="562">
        <f t="shared" si="15"/>
        <v>0</v>
      </c>
      <c r="R169" s="562">
        <f t="shared" si="15"/>
        <v>1.7000000000000001E-2</v>
      </c>
      <c r="S169" s="562">
        <f t="shared" si="15"/>
        <v>1.9E-2</v>
      </c>
      <c r="T169" s="562">
        <f t="shared" si="15"/>
        <v>6.0000000000000001E-3</v>
      </c>
      <c r="U169" s="562">
        <f t="shared" si="15"/>
        <v>0.13700000000000001</v>
      </c>
      <c r="V169" s="562">
        <f t="shared" si="15"/>
        <v>0.02</v>
      </c>
      <c r="W169" s="562">
        <f t="shared" si="15"/>
        <v>0.03</v>
      </c>
      <c r="X169" s="562">
        <f t="shared" si="15"/>
        <v>7.1999999999999995E-2</v>
      </c>
      <c r="Y169" s="125" t="s">
        <v>653</v>
      </c>
      <c r="Z169" s="130"/>
      <c r="AA169" s="125"/>
    </row>
    <row r="170" spans="2:27">
      <c r="B170" s="684" t="s">
        <v>360</v>
      </c>
      <c r="C170" s="557">
        <v>420.53363647474782</v>
      </c>
      <c r="D170" s="402"/>
      <c r="E170" s="130" t="s">
        <v>360</v>
      </c>
      <c r="F170" s="93">
        <v>0.61</v>
      </c>
      <c r="G170" s="529">
        <v>0</v>
      </c>
      <c r="H170" s="529">
        <v>0.52</v>
      </c>
      <c r="I170" s="529">
        <v>0.08</v>
      </c>
      <c r="J170" s="529">
        <v>0</v>
      </c>
      <c r="K170" s="529">
        <v>0.4</v>
      </c>
      <c r="L170" s="125" t="str">
        <f>M403</f>
        <v>Oceania</v>
      </c>
      <c r="M170" s="130" t="s">
        <v>360</v>
      </c>
      <c r="N170" s="561">
        <v>0.35</v>
      </c>
      <c r="O170" s="561">
        <v>0.16500000000000001</v>
      </c>
      <c r="P170" s="561">
        <v>0.13</v>
      </c>
      <c r="Q170" s="561">
        <v>0.01</v>
      </c>
      <c r="R170" s="561">
        <v>0</v>
      </c>
      <c r="S170" s="561">
        <v>0.04</v>
      </c>
      <c r="T170" s="561">
        <v>0</v>
      </c>
      <c r="U170" s="561">
        <v>0.16700000000000001</v>
      </c>
      <c r="V170" s="561">
        <v>3.5999999999999997E-2</v>
      </c>
      <c r="W170" s="561">
        <v>5.6000000000000001E-2</v>
      </c>
      <c r="X170" s="561">
        <v>4.5999999999999999E-2</v>
      </c>
      <c r="Y170" s="125"/>
      <c r="Z170" s="130">
        <v>25.8</v>
      </c>
      <c r="AA170" s="125"/>
    </row>
    <row r="171" spans="2:27">
      <c r="B171" s="684" t="s">
        <v>427</v>
      </c>
      <c r="C171" s="557">
        <v>113.06459924536532</v>
      </c>
      <c r="D171" s="402"/>
      <c r="E171" s="130" t="s">
        <v>427</v>
      </c>
      <c r="F171" s="93">
        <v>0.56000000000000005</v>
      </c>
      <c r="G171" s="529">
        <v>0</v>
      </c>
      <c r="H171" s="529">
        <v>0.03</v>
      </c>
      <c r="I171" s="529">
        <v>0.35</v>
      </c>
      <c r="J171" s="529">
        <v>0.32</v>
      </c>
      <c r="K171" s="529">
        <v>0.3</v>
      </c>
      <c r="L171" s="125" t="str">
        <f>M412</f>
        <v>Western_Europe</v>
      </c>
      <c r="M171" s="130"/>
      <c r="N171" s="562">
        <f t="shared" ref="N171:X171" si="16">N412</f>
        <v>0.33200000000000002</v>
      </c>
      <c r="O171" s="562">
        <f t="shared" si="16"/>
        <v>2.7E-2</v>
      </c>
      <c r="P171" s="562">
        <f t="shared" si="16"/>
        <v>0.17199999999999999</v>
      </c>
      <c r="Q171" s="562">
        <f t="shared" si="16"/>
        <v>2.3E-2</v>
      </c>
      <c r="R171" s="562">
        <f t="shared" si="16"/>
        <v>5.8999999999999997E-2</v>
      </c>
      <c r="S171" s="562">
        <f t="shared" si="16"/>
        <v>0.03</v>
      </c>
      <c r="T171" s="562">
        <f t="shared" si="16"/>
        <v>0</v>
      </c>
      <c r="U171" s="562">
        <f t="shared" si="16"/>
        <v>0.20499999999999999</v>
      </c>
      <c r="V171" s="562">
        <f t="shared" si="16"/>
        <v>1.4999999999999999E-2</v>
      </c>
      <c r="W171" s="562">
        <f t="shared" si="16"/>
        <v>1.4E-2</v>
      </c>
      <c r="X171" s="562">
        <f t="shared" si="16"/>
        <v>0.123</v>
      </c>
      <c r="Y171" s="125" t="s">
        <v>653</v>
      </c>
      <c r="Z171" s="130">
        <v>8.9</v>
      </c>
      <c r="AA171" s="125"/>
    </row>
    <row r="172" spans="2:27">
      <c r="B172" s="684" t="s">
        <v>567</v>
      </c>
      <c r="C172" s="557">
        <v>384.3432466847795</v>
      </c>
      <c r="D172" s="402" t="s">
        <v>653</v>
      </c>
      <c r="E172" s="130"/>
      <c r="F172" s="558">
        <f>F411</f>
        <v>0.69</v>
      </c>
      <c r="G172" s="93"/>
      <c r="H172" s="93"/>
      <c r="I172" s="93"/>
      <c r="J172" s="93"/>
      <c r="K172" s="93"/>
      <c r="L172" s="380" t="str">
        <f>M411</f>
        <v>Western_Asia</v>
      </c>
      <c r="M172" s="130"/>
      <c r="N172" s="562">
        <f>N411</f>
        <v>0.42199999999999999</v>
      </c>
      <c r="O172" s="562">
        <f t="shared" ref="O172:X172" si="17">O411</f>
        <v>3.2000000000000001E-2</v>
      </c>
      <c r="P172" s="562">
        <f t="shared" si="17"/>
        <v>0.153</v>
      </c>
      <c r="Q172" s="562">
        <f t="shared" si="17"/>
        <v>8.0000000000000002E-3</v>
      </c>
      <c r="R172" s="562">
        <f t="shared" si="17"/>
        <v>0.03</v>
      </c>
      <c r="S172" s="562">
        <f t="shared" si="17"/>
        <v>4.0000000000000001E-3</v>
      </c>
      <c r="T172" s="562">
        <f t="shared" si="17"/>
        <v>3.0000000000000001E-3</v>
      </c>
      <c r="U172" s="562">
        <f t="shared" si="17"/>
        <v>0.17199999999999999</v>
      </c>
      <c r="V172" s="562">
        <f t="shared" si="17"/>
        <v>2.5000000000000001E-2</v>
      </c>
      <c r="W172" s="562">
        <f t="shared" si="17"/>
        <v>3.4000000000000002E-2</v>
      </c>
      <c r="X172" s="562">
        <f t="shared" si="17"/>
        <v>0.11799999999999999</v>
      </c>
      <c r="Y172" s="125" t="s">
        <v>653</v>
      </c>
      <c r="Z172" s="130">
        <v>10.199999999999999</v>
      </c>
      <c r="AA172" s="125"/>
    </row>
    <row r="173" spans="2:27">
      <c r="B173" s="684" t="s">
        <v>568</v>
      </c>
      <c r="C173" s="557">
        <v>384.12120695363092</v>
      </c>
      <c r="D173" s="402" t="s">
        <v>653</v>
      </c>
      <c r="E173" s="130"/>
      <c r="F173" s="558">
        <f>F409</f>
        <v>0.47</v>
      </c>
      <c r="G173" s="93"/>
      <c r="H173" s="93"/>
      <c r="I173" s="93"/>
      <c r="J173" s="93"/>
      <c r="K173" s="93"/>
      <c r="L173" s="380" t="str">
        <f>M409</f>
        <v>Southern_Europe</v>
      </c>
      <c r="M173" s="130"/>
      <c r="N173" s="562">
        <f>N409</f>
        <v>0.35799999999999998</v>
      </c>
      <c r="O173" s="562">
        <f t="shared" ref="O173:X173" si="18">O409</f>
        <v>1.4E-2</v>
      </c>
      <c r="P173" s="562">
        <f t="shared" si="18"/>
        <v>0.214</v>
      </c>
      <c r="Q173" s="562">
        <f t="shared" si="18"/>
        <v>1.2E-2</v>
      </c>
      <c r="R173" s="562">
        <f t="shared" si="18"/>
        <v>2.8000000000000001E-2</v>
      </c>
      <c r="S173" s="562">
        <f t="shared" si="18"/>
        <v>1.0999999999999999E-2</v>
      </c>
      <c r="T173" s="562">
        <f t="shared" si="18"/>
        <v>2E-3</v>
      </c>
      <c r="U173" s="562">
        <f t="shared" si="18"/>
        <v>0.14099999999999999</v>
      </c>
      <c r="V173" s="562">
        <f t="shared" si="18"/>
        <v>0.02</v>
      </c>
      <c r="W173" s="562">
        <f t="shared" si="18"/>
        <v>3.5000000000000003E-2</v>
      </c>
      <c r="X173" s="562">
        <f t="shared" si="18"/>
        <v>0.16700000000000001</v>
      </c>
      <c r="Y173" s="125" t="s">
        <v>653</v>
      </c>
      <c r="Z173" s="130"/>
      <c r="AA173" s="125"/>
    </row>
    <row r="174" spans="2:27">
      <c r="B174" s="684" t="s">
        <v>433</v>
      </c>
      <c r="C174" s="557">
        <v>440.84390528246615</v>
      </c>
      <c r="D174" s="402"/>
      <c r="E174" s="560" t="s">
        <v>433</v>
      </c>
      <c r="F174" s="93">
        <v>1.19</v>
      </c>
      <c r="G174" s="93"/>
      <c r="H174" s="93"/>
      <c r="I174" s="93"/>
      <c r="J174" s="93"/>
      <c r="K174" s="93"/>
      <c r="L174" s="125" t="str">
        <f>M393</f>
        <v>Central_America</v>
      </c>
      <c r="M174" s="130"/>
      <c r="N174" s="562">
        <f t="shared" ref="N174:X174" si="19">N393</f>
        <v>0.627</v>
      </c>
      <c r="O174" s="562">
        <f t="shared" si="19"/>
        <v>0</v>
      </c>
      <c r="P174" s="562">
        <f t="shared" si="19"/>
        <v>0.126</v>
      </c>
      <c r="Q174" s="562">
        <f t="shared" si="19"/>
        <v>3.0000000000000001E-3</v>
      </c>
      <c r="R174" s="562">
        <f t="shared" si="19"/>
        <v>2.1999999999999999E-2</v>
      </c>
      <c r="S174" s="562">
        <f t="shared" si="19"/>
        <v>0</v>
      </c>
      <c r="T174" s="562">
        <f t="shared" si="19"/>
        <v>0</v>
      </c>
      <c r="U174" s="562">
        <f t="shared" si="19"/>
        <v>0.10299999999999999</v>
      </c>
      <c r="V174" s="562">
        <f t="shared" si="19"/>
        <v>2.7E-2</v>
      </c>
      <c r="W174" s="562">
        <f t="shared" si="19"/>
        <v>3.3000000000000002E-2</v>
      </c>
      <c r="X174" s="562">
        <f t="shared" si="19"/>
        <v>0.06</v>
      </c>
      <c r="Y174" s="125" t="s">
        <v>653</v>
      </c>
      <c r="Z174" s="130">
        <v>0.4</v>
      </c>
      <c r="AA174" s="125"/>
    </row>
    <row r="175" spans="2:27">
      <c r="B175" s="684" t="s">
        <v>375</v>
      </c>
      <c r="C175" s="557">
        <v>454.26772236082775</v>
      </c>
      <c r="D175" s="402"/>
      <c r="E175" s="560" t="s">
        <v>375</v>
      </c>
      <c r="F175" s="93">
        <v>0.4</v>
      </c>
      <c r="G175" s="93"/>
      <c r="H175" s="93"/>
      <c r="I175" s="93"/>
      <c r="J175" s="93"/>
      <c r="K175" s="93"/>
      <c r="L175" s="125" t="str">
        <f>M411</f>
        <v>Western_Asia</v>
      </c>
      <c r="M175" s="130"/>
      <c r="N175" s="562">
        <f t="shared" ref="N175:X175" si="20">N411</f>
        <v>0.42199999999999999</v>
      </c>
      <c r="O175" s="562">
        <f t="shared" si="20"/>
        <v>3.2000000000000001E-2</v>
      </c>
      <c r="P175" s="562">
        <f t="shared" si="20"/>
        <v>0.153</v>
      </c>
      <c r="Q175" s="562">
        <f t="shared" si="20"/>
        <v>8.0000000000000002E-3</v>
      </c>
      <c r="R175" s="562">
        <f t="shared" si="20"/>
        <v>0.03</v>
      </c>
      <c r="S175" s="562">
        <f t="shared" si="20"/>
        <v>4.0000000000000001E-3</v>
      </c>
      <c r="T175" s="562">
        <f t="shared" si="20"/>
        <v>3.0000000000000001E-3</v>
      </c>
      <c r="U175" s="562">
        <f t="shared" si="20"/>
        <v>0.17199999999999999</v>
      </c>
      <c r="V175" s="562">
        <f t="shared" si="20"/>
        <v>2.5000000000000001E-2</v>
      </c>
      <c r="W175" s="562">
        <f t="shared" si="20"/>
        <v>3.4000000000000002E-2</v>
      </c>
      <c r="X175" s="562">
        <f t="shared" si="20"/>
        <v>0.11799999999999999</v>
      </c>
      <c r="Y175" s="125" t="s">
        <v>653</v>
      </c>
      <c r="Z175" s="130">
        <v>1.5</v>
      </c>
      <c r="AA175" s="125"/>
    </row>
    <row r="176" spans="2:27">
      <c r="B176" s="684" t="s">
        <v>299</v>
      </c>
      <c r="C176" s="557">
        <v>411.7139397607263</v>
      </c>
      <c r="D176" s="402"/>
      <c r="E176" s="560" t="s">
        <v>299</v>
      </c>
      <c r="F176" s="93">
        <v>0.18</v>
      </c>
      <c r="G176" s="93"/>
      <c r="H176" s="93"/>
      <c r="I176" s="93"/>
      <c r="J176" s="93"/>
      <c r="K176" s="93"/>
      <c r="L176" s="125" t="str">
        <f>M408</f>
        <v>Southern_Asia</v>
      </c>
      <c r="M176" s="130" t="s">
        <v>299</v>
      </c>
      <c r="N176" s="561">
        <v>0.54900000000000004</v>
      </c>
      <c r="O176" s="561">
        <v>0</v>
      </c>
      <c r="P176" s="561">
        <v>0.126</v>
      </c>
      <c r="Q176" s="561">
        <v>0</v>
      </c>
      <c r="R176" s="561">
        <v>4.7E-2</v>
      </c>
      <c r="S176" s="561">
        <v>0</v>
      </c>
      <c r="T176" s="561">
        <v>1.4999999999999999E-2</v>
      </c>
      <c r="U176" s="561">
        <v>0.14699999999999999</v>
      </c>
      <c r="V176" s="561">
        <v>1.6E-2</v>
      </c>
      <c r="W176" s="561">
        <v>1.0999999999999999E-2</v>
      </c>
      <c r="X176" s="561">
        <v>8.7999999999999995E-2</v>
      </c>
      <c r="Y176" s="125"/>
      <c r="Z176" s="130">
        <v>171.7</v>
      </c>
      <c r="AA176" s="125"/>
    </row>
    <row r="177" spans="2:27">
      <c r="B177" s="684" t="s">
        <v>434</v>
      </c>
      <c r="C177" s="557">
        <v>483.99970861244168</v>
      </c>
      <c r="D177" s="402"/>
      <c r="E177" s="560" t="s">
        <v>434</v>
      </c>
      <c r="F177" s="93">
        <v>1.73</v>
      </c>
      <c r="G177" s="93"/>
      <c r="H177" s="93"/>
      <c r="I177" s="93"/>
      <c r="J177" s="93"/>
      <c r="K177" s="93"/>
      <c r="L177" s="125" t="str">
        <f>M393</f>
        <v>Central_America</v>
      </c>
      <c r="M177" s="130"/>
      <c r="N177" s="562">
        <f t="shared" ref="N177:X177" si="21">N393</f>
        <v>0.627</v>
      </c>
      <c r="O177" s="562">
        <f t="shared" si="21"/>
        <v>0</v>
      </c>
      <c r="P177" s="562">
        <f t="shared" si="21"/>
        <v>0.126</v>
      </c>
      <c r="Q177" s="562">
        <f t="shared" si="21"/>
        <v>3.0000000000000001E-3</v>
      </c>
      <c r="R177" s="562">
        <f t="shared" si="21"/>
        <v>2.1999999999999999E-2</v>
      </c>
      <c r="S177" s="562">
        <f t="shared" si="21"/>
        <v>0</v>
      </c>
      <c r="T177" s="562">
        <f t="shared" si="21"/>
        <v>0</v>
      </c>
      <c r="U177" s="562">
        <f t="shared" si="21"/>
        <v>0.10299999999999999</v>
      </c>
      <c r="V177" s="562">
        <f t="shared" si="21"/>
        <v>2.7E-2</v>
      </c>
      <c r="W177" s="562">
        <f t="shared" si="21"/>
        <v>3.3000000000000002E-2</v>
      </c>
      <c r="X177" s="562">
        <f t="shared" si="21"/>
        <v>0.06</v>
      </c>
      <c r="Y177" s="125" t="s">
        <v>653</v>
      </c>
      <c r="Z177" s="130">
        <v>0.3</v>
      </c>
      <c r="AA177" s="125"/>
    </row>
    <row r="178" spans="2:27">
      <c r="B178" s="684" t="s">
        <v>419</v>
      </c>
      <c r="C178" s="557">
        <v>291.56017074610708</v>
      </c>
      <c r="D178" s="402"/>
      <c r="E178" s="130" t="s">
        <v>419</v>
      </c>
      <c r="F178" s="93">
        <v>0.38</v>
      </c>
      <c r="G178" s="93"/>
      <c r="H178" s="93"/>
      <c r="I178" s="93"/>
      <c r="J178" s="93"/>
      <c r="K178" s="93"/>
      <c r="L178" s="125" t="str">
        <f>M397</f>
        <v>Eastern_Europe</v>
      </c>
      <c r="M178" s="130"/>
      <c r="N178" s="562">
        <f t="shared" ref="N178:X178" si="22">N397</f>
        <v>0.318</v>
      </c>
      <c r="O178" s="562">
        <f t="shared" si="22"/>
        <v>2.4E-2</v>
      </c>
      <c r="P178" s="562">
        <f t="shared" si="22"/>
        <v>0.17100000000000001</v>
      </c>
      <c r="Q178" s="562">
        <f t="shared" si="22"/>
        <v>2.5000000000000001E-2</v>
      </c>
      <c r="R178" s="562">
        <f t="shared" si="22"/>
        <v>3.1E-2</v>
      </c>
      <c r="S178" s="562">
        <f t="shared" si="22"/>
        <v>5.0000000000000001E-3</v>
      </c>
      <c r="T178" s="562">
        <f t="shared" si="22"/>
        <v>5.0000000000000001E-3</v>
      </c>
      <c r="U178" s="562">
        <f t="shared" si="22"/>
        <v>4.5999999999999999E-2</v>
      </c>
      <c r="V178" s="562">
        <f t="shared" si="22"/>
        <v>7.0000000000000001E-3</v>
      </c>
      <c r="W178" s="562">
        <f t="shared" si="22"/>
        <v>1.7999999999999999E-2</v>
      </c>
      <c r="X178" s="562">
        <f t="shared" si="22"/>
        <v>0.35299999999999998</v>
      </c>
      <c r="Y178" s="125" t="s">
        <v>653</v>
      </c>
      <c r="Z178" s="130">
        <v>9.3000000000000007</v>
      </c>
      <c r="AA178" s="125"/>
    </row>
    <row r="179" spans="2:27">
      <c r="B179" s="684" t="s">
        <v>428</v>
      </c>
      <c r="C179" s="557">
        <v>124.39442830229973</v>
      </c>
      <c r="D179" s="402"/>
      <c r="E179" s="130" t="s">
        <v>428</v>
      </c>
      <c r="F179" s="93">
        <v>0.46</v>
      </c>
      <c r="G179" s="529">
        <v>0</v>
      </c>
      <c r="H179" s="529">
        <v>0.02</v>
      </c>
      <c r="I179" s="529">
        <v>0.4</v>
      </c>
      <c r="J179" s="529">
        <v>0.21</v>
      </c>
      <c r="K179" s="529">
        <v>0.37</v>
      </c>
      <c r="L179" s="125" t="str">
        <f>M412</f>
        <v>Western_Europe</v>
      </c>
      <c r="M179" s="130"/>
      <c r="N179" s="562">
        <f t="shared" ref="N179:X179" si="23">N412</f>
        <v>0.33200000000000002</v>
      </c>
      <c r="O179" s="562">
        <f t="shared" si="23"/>
        <v>2.7E-2</v>
      </c>
      <c r="P179" s="562">
        <f t="shared" si="23"/>
        <v>0.17199999999999999</v>
      </c>
      <c r="Q179" s="562">
        <f t="shared" si="23"/>
        <v>2.3E-2</v>
      </c>
      <c r="R179" s="562">
        <f t="shared" si="23"/>
        <v>5.8999999999999997E-2</v>
      </c>
      <c r="S179" s="562">
        <f t="shared" si="23"/>
        <v>0.03</v>
      </c>
      <c r="T179" s="562">
        <f t="shared" si="23"/>
        <v>0</v>
      </c>
      <c r="U179" s="562">
        <f t="shared" si="23"/>
        <v>0.20499999999999999</v>
      </c>
      <c r="V179" s="562">
        <f t="shared" si="23"/>
        <v>1.4999999999999999E-2</v>
      </c>
      <c r="W179" s="562">
        <f t="shared" si="23"/>
        <v>1.4E-2</v>
      </c>
      <c r="X179" s="562">
        <f t="shared" si="23"/>
        <v>0.123</v>
      </c>
      <c r="Y179" s="125" t="s">
        <v>653</v>
      </c>
      <c r="Z179" s="130">
        <v>11.5</v>
      </c>
      <c r="AA179" s="125"/>
    </row>
    <row r="180" spans="2:27">
      <c r="B180" s="684" t="s">
        <v>446</v>
      </c>
      <c r="C180" s="557">
        <v>182.95145194239501</v>
      </c>
      <c r="D180" s="402"/>
      <c r="E180" s="560" t="s">
        <v>446</v>
      </c>
      <c r="F180" s="93">
        <v>1.05</v>
      </c>
      <c r="G180" s="529">
        <v>0</v>
      </c>
      <c r="H180" s="529">
        <v>1</v>
      </c>
      <c r="I180" s="529">
        <v>0</v>
      </c>
      <c r="J180" s="529">
        <v>0</v>
      </c>
      <c r="K180" s="529"/>
      <c r="L180" s="125" t="str">
        <f>M393</f>
        <v>Central_America</v>
      </c>
      <c r="M180" s="130"/>
      <c r="N180" s="562">
        <f t="shared" ref="N180:X180" si="24">N393</f>
        <v>0.627</v>
      </c>
      <c r="O180" s="562">
        <f t="shared" si="24"/>
        <v>0</v>
      </c>
      <c r="P180" s="562">
        <f t="shared" si="24"/>
        <v>0.126</v>
      </c>
      <c r="Q180" s="562">
        <f t="shared" si="24"/>
        <v>3.0000000000000001E-3</v>
      </c>
      <c r="R180" s="562">
        <f t="shared" si="24"/>
        <v>2.1999999999999999E-2</v>
      </c>
      <c r="S180" s="562">
        <f t="shared" si="24"/>
        <v>0</v>
      </c>
      <c r="T180" s="562">
        <f t="shared" si="24"/>
        <v>0</v>
      </c>
      <c r="U180" s="562">
        <f t="shared" si="24"/>
        <v>0.10299999999999999</v>
      </c>
      <c r="V180" s="562">
        <f t="shared" si="24"/>
        <v>2.7E-2</v>
      </c>
      <c r="W180" s="562">
        <f t="shared" si="24"/>
        <v>3.3000000000000002E-2</v>
      </c>
      <c r="X180" s="562">
        <f t="shared" si="24"/>
        <v>0.06</v>
      </c>
      <c r="Y180" s="125" t="s">
        <v>653</v>
      </c>
      <c r="Z180" s="130">
        <v>0.4</v>
      </c>
      <c r="AA180" s="125"/>
    </row>
    <row r="181" spans="2:27">
      <c r="B181" s="684" t="s">
        <v>409</v>
      </c>
      <c r="C181" s="557">
        <v>575.76498270398827</v>
      </c>
      <c r="D181" s="402"/>
      <c r="E181" s="560" t="s">
        <v>409</v>
      </c>
      <c r="F181" s="93">
        <v>0.2</v>
      </c>
      <c r="G181" s="93"/>
      <c r="H181" s="93"/>
      <c r="I181" s="93"/>
      <c r="J181" s="93"/>
      <c r="K181" s="93"/>
      <c r="L181" s="125" t="str">
        <f>M410</f>
        <v>Western_Africa</v>
      </c>
      <c r="M181" s="130"/>
      <c r="N181" s="562">
        <f t="shared" ref="N181:X181" si="25">N410</f>
        <v>0.53900000000000003</v>
      </c>
      <c r="O181" s="562">
        <f t="shared" si="25"/>
        <v>0</v>
      </c>
      <c r="P181" s="562">
        <f t="shared" si="25"/>
        <v>7.4999999999999997E-2</v>
      </c>
      <c r="Q181" s="562">
        <f t="shared" si="25"/>
        <v>0</v>
      </c>
      <c r="R181" s="562">
        <f t="shared" si="25"/>
        <v>1.9E-2</v>
      </c>
      <c r="S181" s="562">
        <f t="shared" si="25"/>
        <v>0</v>
      </c>
      <c r="T181" s="562">
        <f t="shared" si="25"/>
        <v>0</v>
      </c>
      <c r="U181" s="562">
        <f t="shared" si="25"/>
        <v>6.4000000000000001E-2</v>
      </c>
      <c r="V181" s="562">
        <f t="shared" si="25"/>
        <v>2.7E-2</v>
      </c>
      <c r="W181" s="562">
        <f t="shared" si="25"/>
        <v>1.2999999999999999E-2</v>
      </c>
      <c r="X181" s="562">
        <f t="shared" si="25"/>
        <v>0.26500000000000001</v>
      </c>
      <c r="Y181" s="125" t="s">
        <v>653</v>
      </c>
      <c r="Z181" s="130">
        <v>12.6</v>
      </c>
      <c r="AA181" s="125"/>
    </row>
    <row r="182" spans="2:27">
      <c r="B182" s="684" t="s">
        <v>569</v>
      </c>
      <c r="C182" s="557">
        <v>341.50887228045815</v>
      </c>
      <c r="D182" s="402"/>
      <c r="E182" s="130" t="s">
        <v>462</v>
      </c>
      <c r="F182" s="93">
        <v>1.3</v>
      </c>
      <c r="G182" s="529">
        <v>0</v>
      </c>
      <c r="H182" s="529">
        <v>0.12</v>
      </c>
      <c r="I182" s="529">
        <v>0.68</v>
      </c>
      <c r="J182" s="529">
        <v>0.18</v>
      </c>
      <c r="K182" s="529">
        <v>0.02</v>
      </c>
      <c r="L182" s="125" t="str">
        <f>M401</f>
        <v>Northern_America</v>
      </c>
      <c r="M182" s="130"/>
      <c r="N182" s="562">
        <f t="shared" ref="N182:X182" si="26">N401</f>
        <v>0.20200000000000001</v>
      </c>
      <c r="O182" s="562">
        <f t="shared" si="26"/>
        <v>6.8000000000000005E-2</v>
      </c>
      <c r="P182" s="562">
        <f t="shared" si="26"/>
        <v>0.23300000000000001</v>
      </c>
      <c r="Q182" s="562">
        <f t="shared" si="26"/>
        <v>4.1000000000000002E-2</v>
      </c>
      <c r="R182" s="562">
        <f t="shared" si="26"/>
        <v>3.9E-2</v>
      </c>
      <c r="S182" s="562">
        <f t="shared" si="26"/>
        <v>0</v>
      </c>
      <c r="T182" s="562">
        <f t="shared" si="26"/>
        <v>1.6E-2</v>
      </c>
      <c r="U182" s="562">
        <f t="shared" si="26"/>
        <v>0.158</v>
      </c>
      <c r="V182" s="562">
        <f t="shared" si="26"/>
        <v>6.4000000000000001E-2</v>
      </c>
      <c r="W182" s="562">
        <f t="shared" si="26"/>
        <v>4.2000000000000003E-2</v>
      </c>
      <c r="X182" s="562">
        <f t="shared" si="26"/>
        <v>0.14000000000000001</v>
      </c>
      <c r="Y182" s="125" t="s">
        <v>653</v>
      </c>
      <c r="Z182" s="130"/>
      <c r="AA182" s="125"/>
    </row>
    <row r="183" spans="2:27">
      <c r="B183" s="684" t="s">
        <v>370</v>
      </c>
      <c r="C183" s="557">
        <v>0</v>
      </c>
      <c r="D183" s="402"/>
      <c r="E183" s="560" t="s">
        <v>370</v>
      </c>
      <c r="F183" s="93">
        <v>0.53</v>
      </c>
      <c r="G183" s="93"/>
      <c r="H183" s="93"/>
      <c r="I183" s="93"/>
      <c r="J183" s="93"/>
      <c r="K183" s="93"/>
      <c r="L183" s="125" t="str">
        <f>M408</f>
        <v>Southern_Asia</v>
      </c>
      <c r="M183" s="130"/>
      <c r="N183" s="562">
        <f t="shared" ref="N183:X183" si="27">N408</f>
        <v>0.66100000000000003</v>
      </c>
      <c r="O183" s="562">
        <f t="shared" si="27"/>
        <v>0</v>
      </c>
      <c r="P183" s="562">
        <f t="shared" si="27"/>
        <v>9.1999999999999998E-2</v>
      </c>
      <c r="Q183" s="562">
        <f t="shared" si="27"/>
        <v>0</v>
      </c>
      <c r="R183" s="562">
        <f t="shared" si="27"/>
        <v>1.2E-2</v>
      </c>
      <c r="S183" s="562">
        <f t="shared" si="27"/>
        <v>0</v>
      </c>
      <c r="T183" s="562">
        <f t="shared" si="27"/>
        <v>4.0000000000000001E-3</v>
      </c>
      <c r="U183" s="562">
        <f t="shared" si="27"/>
        <v>7.0000000000000007E-2</v>
      </c>
      <c r="V183" s="562">
        <f t="shared" si="27"/>
        <v>8.9999999999999993E-3</v>
      </c>
      <c r="W183" s="562">
        <f t="shared" si="27"/>
        <v>1.4999999999999999E-2</v>
      </c>
      <c r="X183" s="562">
        <f t="shared" si="27"/>
        <v>0.13900000000000001</v>
      </c>
      <c r="Y183" s="125" t="s">
        <v>653</v>
      </c>
      <c r="Z183" s="130">
        <v>0.8</v>
      </c>
      <c r="AA183" s="125"/>
    </row>
    <row r="184" spans="2:27">
      <c r="B184" s="684" t="s">
        <v>570</v>
      </c>
      <c r="C184" s="557">
        <v>393.28922931458055</v>
      </c>
      <c r="D184" s="402"/>
      <c r="E184" s="560" t="s">
        <v>452</v>
      </c>
      <c r="F184" s="93">
        <v>0.12</v>
      </c>
      <c r="G184" s="93"/>
      <c r="H184" s="93"/>
      <c r="I184" s="93"/>
      <c r="J184" s="93"/>
      <c r="K184" s="93"/>
      <c r="L184" s="125" t="str">
        <f>M405</f>
        <v>South_America</v>
      </c>
      <c r="M184" s="130"/>
      <c r="N184" s="562">
        <f t="shared" ref="N184:X184" si="28">N405</f>
        <v>0.54100000000000004</v>
      </c>
      <c r="O184" s="562">
        <f t="shared" si="28"/>
        <v>3.3000000000000002E-2</v>
      </c>
      <c r="P184" s="562">
        <f t="shared" si="28"/>
        <v>0.124</v>
      </c>
      <c r="Q184" s="562">
        <f t="shared" si="28"/>
        <v>0</v>
      </c>
      <c r="R184" s="562">
        <f t="shared" si="28"/>
        <v>1.7000000000000001E-2</v>
      </c>
      <c r="S184" s="562">
        <f t="shared" si="28"/>
        <v>1.9E-2</v>
      </c>
      <c r="T184" s="562">
        <f t="shared" si="28"/>
        <v>6.0000000000000001E-3</v>
      </c>
      <c r="U184" s="562">
        <f t="shared" si="28"/>
        <v>0.13700000000000001</v>
      </c>
      <c r="V184" s="562">
        <f t="shared" si="28"/>
        <v>0.02</v>
      </c>
      <c r="W184" s="562">
        <f t="shared" si="28"/>
        <v>0.03</v>
      </c>
      <c r="X184" s="562">
        <f t="shared" si="28"/>
        <v>7.1999999999999995E-2</v>
      </c>
      <c r="Y184" s="125" t="s">
        <v>653</v>
      </c>
      <c r="Z184" s="130">
        <v>11.8</v>
      </c>
      <c r="AA184" s="125"/>
    </row>
    <row r="185" spans="2:27">
      <c r="B185" s="684" t="s">
        <v>571</v>
      </c>
      <c r="C185" s="557">
        <v>400.20085022680689</v>
      </c>
      <c r="D185" s="402" t="s">
        <v>653</v>
      </c>
      <c r="E185" s="130"/>
      <c r="F185" s="558">
        <f>F392</f>
        <v>0.78</v>
      </c>
      <c r="G185" s="93"/>
      <c r="H185" s="93"/>
      <c r="I185" s="93"/>
      <c r="J185" s="93"/>
      <c r="K185" s="93"/>
      <c r="L185" s="380" t="s">
        <v>661</v>
      </c>
      <c r="M185" s="130"/>
      <c r="N185" s="562">
        <f>N393</f>
        <v>0.627</v>
      </c>
      <c r="O185" s="562">
        <f t="shared" ref="O185:X185" si="29">O393</f>
        <v>0</v>
      </c>
      <c r="P185" s="562">
        <f t="shared" si="29"/>
        <v>0.126</v>
      </c>
      <c r="Q185" s="562">
        <f t="shared" si="29"/>
        <v>3.0000000000000001E-3</v>
      </c>
      <c r="R185" s="562">
        <f t="shared" si="29"/>
        <v>2.1999999999999999E-2</v>
      </c>
      <c r="S185" s="562">
        <f t="shared" si="29"/>
        <v>0</v>
      </c>
      <c r="T185" s="562">
        <f t="shared" si="29"/>
        <v>0</v>
      </c>
      <c r="U185" s="562">
        <f t="shared" si="29"/>
        <v>0.10299999999999999</v>
      </c>
      <c r="V185" s="562">
        <f t="shared" si="29"/>
        <v>2.7E-2</v>
      </c>
      <c r="W185" s="562">
        <f t="shared" si="29"/>
        <v>3.3000000000000002E-2</v>
      </c>
      <c r="X185" s="562">
        <f t="shared" si="29"/>
        <v>0.06</v>
      </c>
      <c r="Y185" s="125" t="s">
        <v>653</v>
      </c>
      <c r="Z185" s="130"/>
      <c r="AA185" s="125"/>
    </row>
    <row r="186" spans="2:27">
      <c r="B186" s="684" t="s">
        <v>423</v>
      </c>
      <c r="C186" s="557">
        <v>738.99703898176494</v>
      </c>
      <c r="D186" s="402"/>
      <c r="E186" s="130" t="s">
        <v>423</v>
      </c>
      <c r="F186" s="93">
        <v>0.33</v>
      </c>
      <c r="G186" s="529">
        <v>0</v>
      </c>
      <c r="H186" s="529">
        <v>0.82</v>
      </c>
      <c r="I186" s="529">
        <v>0</v>
      </c>
      <c r="J186" s="529">
        <v>0</v>
      </c>
      <c r="K186" s="529">
        <v>0.18</v>
      </c>
      <c r="L186" s="125" t="str">
        <f>M409</f>
        <v>Southern_Europe</v>
      </c>
      <c r="M186" s="130"/>
      <c r="N186" s="562">
        <f t="shared" ref="N186:X186" si="30">N409</f>
        <v>0.35799999999999998</v>
      </c>
      <c r="O186" s="562">
        <f t="shared" si="30"/>
        <v>1.4E-2</v>
      </c>
      <c r="P186" s="562">
        <f t="shared" si="30"/>
        <v>0.214</v>
      </c>
      <c r="Q186" s="562">
        <f t="shared" si="30"/>
        <v>1.2E-2</v>
      </c>
      <c r="R186" s="562">
        <f t="shared" si="30"/>
        <v>2.8000000000000001E-2</v>
      </c>
      <c r="S186" s="562">
        <f t="shared" si="30"/>
        <v>1.0999999999999999E-2</v>
      </c>
      <c r="T186" s="562">
        <f t="shared" si="30"/>
        <v>2E-3</v>
      </c>
      <c r="U186" s="562">
        <f t="shared" si="30"/>
        <v>0.14099999999999999</v>
      </c>
      <c r="V186" s="562">
        <f t="shared" si="30"/>
        <v>0.02</v>
      </c>
      <c r="W186" s="562">
        <f t="shared" si="30"/>
        <v>3.5000000000000003E-2</v>
      </c>
      <c r="X186" s="562">
        <f t="shared" si="30"/>
        <v>0.16700000000000001</v>
      </c>
      <c r="Y186" s="125" t="s">
        <v>653</v>
      </c>
      <c r="Z186" s="130">
        <v>3.5</v>
      </c>
      <c r="AA186" s="125"/>
    </row>
    <row r="187" spans="2:27">
      <c r="B187" s="684" t="s">
        <v>405</v>
      </c>
      <c r="C187" s="557">
        <v>1070.2660561769676</v>
      </c>
      <c r="D187" s="402"/>
      <c r="E187" s="560" t="s">
        <v>405</v>
      </c>
      <c r="F187" s="93">
        <v>0.38</v>
      </c>
      <c r="G187" s="93"/>
      <c r="H187" s="93"/>
      <c r="I187" s="93"/>
      <c r="J187" s="93"/>
      <c r="K187" s="93"/>
      <c r="L187" s="125" t="str">
        <f>M407</f>
        <v>Southern_Africa</v>
      </c>
      <c r="M187" s="130"/>
      <c r="N187" s="562">
        <f t="shared" ref="N187:X187" si="31">N407</f>
        <v>0.24</v>
      </c>
      <c r="O187" s="562">
        <f t="shared" si="31"/>
        <v>0</v>
      </c>
      <c r="P187" s="562">
        <f t="shared" si="31"/>
        <v>0.14499999999999999</v>
      </c>
      <c r="Q187" s="562">
        <f t="shared" si="31"/>
        <v>0</v>
      </c>
      <c r="R187" s="562">
        <f t="shared" si="31"/>
        <v>5.5E-2</v>
      </c>
      <c r="S187" s="562">
        <f t="shared" si="31"/>
        <v>0</v>
      </c>
      <c r="T187" s="562">
        <f t="shared" si="31"/>
        <v>0</v>
      </c>
      <c r="U187" s="562">
        <f t="shared" si="31"/>
        <v>0.26500000000000001</v>
      </c>
      <c r="V187" s="562">
        <f t="shared" si="31"/>
        <v>6.5000000000000002E-2</v>
      </c>
      <c r="W187" s="562">
        <f t="shared" si="31"/>
        <v>0.09</v>
      </c>
      <c r="X187" s="562">
        <f t="shared" si="31"/>
        <v>0.14000000000000001</v>
      </c>
      <c r="Y187" s="125" t="s">
        <v>653</v>
      </c>
      <c r="Z187" s="130">
        <v>2.2999999999999998</v>
      </c>
      <c r="AA187" s="125"/>
    </row>
    <row r="188" spans="2:27">
      <c r="B188" s="684" t="s">
        <v>355</v>
      </c>
      <c r="C188" s="557">
        <v>150.02455524249805</v>
      </c>
      <c r="D188" s="402"/>
      <c r="E188" s="130" t="s">
        <v>355</v>
      </c>
      <c r="F188" s="93">
        <v>0.31</v>
      </c>
      <c r="G188" s="93"/>
      <c r="H188" s="93"/>
      <c r="I188" s="93"/>
      <c r="J188" s="93"/>
      <c r="K188" s="93"/>
      <c r="L188" s="125" t="str">
        <f>M405</f>
        <v>South_America</v>
      </c>
      <c r="M188" s="130" t="s">
        <v>355</v>
      </c>
      <c r="N188" s="561">
        <v>0.53500000000000003</v>
      </c>
      <c r="O188" s="561">
        <v>0</v>
      </c>
      <c r="P188" s="561">
        <v>0.17599999999999999</v>
      </c>
      <c r="Q188" s="561">
        <v>0</v>
      </c>
      <c r="R188" s="561">
        <v>0</v>
      </c>
      <c r="S188" s="561">
        <v>0</v>
      </c>
      <c r="T188" s="561">
        <v>0</v>
      </c>
      <c r="U188" s="561">
        <v>0.17499999999999999</v>
      </c>
      <c r="V188" s="561">
        <v>2.1999999999999999E-2</v>
      </c>
      <c r="W188" s="561">
        <v>0.04</v>
      </c>
      <c r="X188" s="561">
        <v>5.2999999999999999E-2</v>
      </c>
      <c r="Y188" s="125"/>
      <c r="Z188" s="130">
        <v>212.8</v>
      </c>
      <c r="AA188" s="125"/>
    </row>
    <row r="189" spans="2:27">
      <c r="B189" s="684" t="s">
        <v>572</v>
      </c>
      <c r="C189" s="557">
        <v>420.19370651198022</v>
      </c>
      <c r="D189" s="402" t="s">
        <v>653</v>
      </c>
      <c r="E189" s="130"/>
      <c r="F189" s="558">
        <f>F392</f>
        <v>0.78</v>
      </c>
      <c r="G189" s="93"/>
      <c r="H189" s="93"/>
      <c r="I189" s="93"/>
      <c r="J189" s="93"/>
      <c r="K189" s="93"/>
      <c r="L189" s="380" t="s">
        <v>661</v>
      </c>
      <c r="M189" s="130"/>
      <c r="N189" s="562">
        <f>N393</f>
        <v>0.627</v>
      </c>
      <c r="O189" s="562">
        <f t="shared" ref="O189:X189" si="32">O393</f>
        <v>0</v>
      </c>
      <c r="P189" s="562">
        <f t="shared" si="32"/>
        <v>0.126</v>
      </c>
      <c r="Q189" s="562">
        <f t="shared" si="32"/>
        <v>3.0000000000000001E-3</v>
      </c>
      <c r="R189" s="562">
        <f t="shared" si="32"/>
        <v>2.1999999999999999E-2</v>
      </c>
      <c r="S189" s="562">
        <f t="shared" si="32"/>
        <v>0</v>
      </c>
      <c r="T189" s="562">
        <f t="shared" si="32"/>
        <v>0</v>
      </c>
      <c r="U189" s="562">
        <f t="shared" si="32"/>
        <v>0.10299999999999999</v>
      </c>
      <c r="V189" s="562">
        <f t="shared" si="32"/>
        <v>2.7E-2</v>
      </c>
      <c r="W189" s="562">
        <f t="shared" si="32"/>
        <v>3.3000000000000002E-2</v>
      </c>
      <c r="X189" s="562">
        <f t="shared" si="32"/>
        <v>0.06</v>
      </c>
      <c r="Y189" s="125" t="s">
        <v>653</v>
      </c>
      <c r="Z189" s="130"/>
      <c r="AA189" s="125"/>
    </row>
    <row r="190" spans="2:27">
      <c r="B190" s="684" t="s">
        <v>369</v>
      </c>
      <c r="C190" s="557">
        <v>407.16262469847078</v>
      </c>
      <c r="D190" s="402"/>
      <c r="E190" s="560" t="s">
        <v>369</v>
      </c>
      <c r="F190" s="93">
        <v>0.32</v>
      </c>
      <c r="G190" s="93"/>
      <c r="H190" s="93"/>
      <c r="I190" s="93"/>
      <c r="J190" s="93"/>
      <c r="K190" s="93"/>
      <c r="L190" s="125" t="str">
        <f>M406</f>
        <v>South_Eastern_Asia</v>
      </c>
      <c r="M190" s="130"/>
      <c r="N190" s="562">
        <f t="shared" ref="N190:X190" si="33">N406</f>
        <v>0.499</v>
      </c>
      <c r="O190" s="562">
        <f t="shared" si="33"/>
        <v>0.01</v>
      </c>
      <c r="P190" s="562">
        <f t="shared" si="33"/>
        <v>0.112</v>
      </c>
      <c r="Q190" s="562">
        <f t="shared" si="33"/>
        <v>8.0000000000000002E-3</v>
      </c>
      <c r="R190" s="562">
        <f t="shared" si="33"/>
        <v>4.0000000000000001E-3</v>
      </c>
      <c r="S190" s="562">
        <f t="shared" si="33"/>
        <v>0</v>
      </c>
      <c r="T190" s="562">
        <f t="shared" si="33"/>
        <v>0</v>
      </c>
      <c r="U190" s="562">
        <f t="shared" si="33"/>
        <v>0.10199999999999999</v>
      </c>
      <c r="V190" s="562">
        <f t="shared" si="33"/>
        <v>4.2000000000000003E-2</v>
      </c>
      <c r="W190" s="562">
        <f t="shared" si="33"/>
        <v>3.6999999999999998E-2</v>
      </c>
      <c r="X190" s="562">
        <f t="shared" si="33"/>
        <v>0.186</v>
      </c>
      <c r="Y190" s="125" t="s">
        <v>653</v>
      </c>
      <c r="Z190" s="130">
        <v>0.5</v>
      </c>
      <c r="AA190" s="125"/>
    </row>
    <row r="191" spans="2:27">
      <c r="B191" s="684" t="s">
        <v>323</v>
      </c>
      <c r="C191" s="557">
        <v>495.28073716719098</v>
      </c>
      <c r="D191" s="402"/>
      <c r="E191" s="130" t="s">
        <v>323</v>
      </c>
      <c r="F191" s="93">
        <v>0.55000000000000004</v>
      </c>
      <c r="G191" s="529">
        <v>0</v>
      </c>
      <c r="H191" s="529">
        <v>0.74</v>
      </c>
      <c r="I191" s="529">
        <v>0</v>
      </c>
      <c r="J191" s="529">
        <v>0</v>
      </c>
      <c r="K191" s="529">
        <v>0.26</v>
      </c>
      <c r="L191" s="125" t="str">
        <f>M397</f>
        <v>Eastern_Europe</v>
      </c>
      <c r="M191" s="130" t="s">
        <v>323</v>
      </c>
      <c r="N191" s="561">
        <v>0.187</v>
      </c>
      <c r="O191" s="561">
        <v>0.1</v>
      </c>
      <c r="P191" s="561">
        <v>0.13400000000000001</v>
      </c>
      <c r="Q191" s="561">
        <v>1.7000000000000001E-2</v>
      </c>
      <c r="R191" s="561">
        <v>3.5999999999999997E-2</v>
      </c>
      <c r="S191" s="561">
        <v>1.9E-2</v>
      </c>
      <c r="T191" s="561">
        <v>1.9E-2</v>
      </c>
      <c r="U191" s="561">
        <v>0</v>
      </c>
      <c r="V191" s="561">
        <v>0</v>
      </c>
      <c r="W191" s="561">
        <v>0</v>
      </c>
      <c r="X191" s="561">
        <v>0.50800000000000001</v>
      </c>
      <c r="Y191" s="125"/>
      <c r="Z191" s="130">
        <v>6.9</v>
      </c>
      <c r="AA191" s="125"/>
    </row>
    <row r="192" spans="2:27">
      <c r="B192" s="684" t="s">
        <v>410</v>
      </c>
      <c r="C192" s="557">
        <v>539.09725528687409</v>
      </c>
      <c r="D192" s="402"/>
      <c r="E192" s="560" t="s">
        <v>410</v>
      </c>
      <c r="F192" s="93">
        <v>0.19</v>
      </c>
      <c r="G192" s="93"/>
      <c r="H192" s="93"/>
      <c r="I192" s="93"/>
      <c r="J192" s="93"/>
      <c r="K192" s="93"/>
      <c r="L192" s="125" t="str">
        <f>M410</f>
        <v>Western_Africa</v>
      </c>
      <c r="M192" s="130"/>
      <c r="N192" s="562">
        <f t="shared" ref="N192:X192" si="34">N410</f>
        <v>0.53900000000000003</v>
      </c>
      <c r="O192" s="562">
        <f t="shared" si="34"/>
        <v>0</v>
      </c>
      <c r="P192" s="562">
        <f t="shared" si="34"/>
        <v>7.4999999999999997E-2</v>
      </c>
      <c r="Q192" s="562">
        <f t="shared" si="34"/>
        <v>0</v>
      </c>
      <c r="R192" s="562">
        <f t="shared" si="34"/>
        <v>1.9E-2</v>
      </c>
      <c r="S192" s="562">
        <f t="shared" si="34"/>
        <v>0</v>
      </c>
      <c r="T192" s="562">
        <f t="shared" si="34"/>
        <v>0</v>
      </c>
      <c r="U192" s="562">
        <f t="shared" si="34"/>
        <v>6.4000000000000001E-2</v>
      </c>
      <c r="V192" s="562">
        <f t="shared" si="34"/>
        <v>2.7E-2</v>
      </c>
      <c r="W192" s="562">
        <f t="shared" si="34"/>
        <v>1.2999999999999999E-2</v>
      </c>
      <c r="X192" s="562">
        <f t="shared" si="34"/>
        <v>0.26500000000000001</v>
      </c>
      <c r="Y192" s="125" t="s">
        <v>653</v>
      </c>
      <c r="Z192" s="130">
        <v>21.5</v>
      </c>
      <c r="AA192" s="125"/>
    </row>
    <row r="193" spans="2:27">
      <c r="B193" s="684" t="s">
        <v>387</v>
      </c>
      <c r="C193" s="557">
        <v>197.02455268316243</v>
      </c>
      <c r="D193" s="402"/>
      <c r="E193" s="560" t="s">
        <v>387</v>
      </c>
      <c r="F193" s="93">
        <v>0.2</v>
      </c>
      <c r="G193" s="93"/>
      <c r="H193" s="93"/>
      <c r="I193" s="93"/>
      <c r="J193" s="93"/>
      <c r="K193" s="93"/>
      <c r="L193" s="125" t="str">
        <f>M395</f>
        <v>Eastern_Africa</v>
      </c>
      <c r="M193" s="130"/>
      <c r="N193" s="562">
        <f t="shared" ref="N193:X193" si="35">N395</f>
        <v>0.44400000000000001</v>
      </c>
      <c r="O193" s="562">
        <f t="shared" si="35"/>
        <v>6.9000000000000006E-2</v>
      </c>
      <c r="P193" s="562">
        <f t="shared" si="35"/>
        <v>0.104</v>
      </c>
      <c r="Q193" s="562">
        <f t="shared" si="35"/>
        <v>5.0000000000000001E-3</v>
      </c>
      <c r="R193" s="562">
        <f t="shared" si="35"/>
        <v>0.03</v>
      </c>
      <c r="S193" s="562">
        <f t="shared" si="35"/>
        <v>0</v>
      </c>
      <c r="T193" s="562">
        <f t="shared" si="35"/>
        <v>4.0000000000000001E-3</v>
      </c>
      <c r="U193" s="562">
        <f t="shared" si="35"/>
        <v>0.08</v>
      </c>
      <c r="V193" s="562">
        <f t="shared" si="35"/>
        <v>2.5999999999999999E-2</v>
      </c>
      <c r="W193" s="562">
        <f t="shared" si="35"/>
        <v>2.1000000000000001E-2</v>
      </c>
      <c r="X193" s="562">
        <f t="shared" si="35"/>
        <v>0.217</v>
      </c>
      <c r="Y193" s="125" t="s">
        <v>653</v>
      </c>
      <c r="Z193" s="130">
        <v>12.2</v>
      </c>
      <c r="AA193" s="125"/>
    </row>
    <row r="194" spans="2:27">
      <c r="B194" s="684" t="s">
        <v>290</v>
      </c>
      <c r="C194" s="557">
        <v>587.80565791664526</v>
      </c>
      <c r="D194" s="402" t="s">
        <v>653</v>
      </c>
      <c r="E194" s="130"/>
      <c r="F194" s="558">
        <f>F406</f>
        <v>0.46</v>
      </c>
      <c r="G194" s="558"/>
      <c r="H194" s="558"/>
      <c r="I194" s="558"/>
      <c r="J194" s="558"/>
      <c r="K194" s="558"/>
      <c r="L194" s="125" t="str">
        <f>M406</f>
        <v>South_Eastern_Asia</v>
      </c>
      <c r="M194" s="130" t="s">
        <v>290</v>
      </c>
      <c r="N194" s="561">
        <v>0.65</v>
      </c>
      <c r="O194" s="561">
        <v>0</v>
      </c>
      <c r="P194" s="561">
        <v>0.04</v>
      </c>
      <c r="Q194" s="561"/>
      <c r="R194" s="561"/>
      <c r="S194" s="561"/>
      <c r="T194" s="561"/>
      <c r="U194" s="561">
        <v>0.13</v>
      </c>
      <c r="V194" s="561">
        <v>0.01</v>
      </c>
      <c r="W194" s="561">
        <v>0.05</v>
      </c>
      <c r="X194" s="561">
        <v>0.12</v>
      </c>
      <c r="Y194" s="125"/>
      <c r="Z194" s="130">
        <v>15.7</v>
      </c>
      <c r="AA194" s="125"/>
    </row>
    <row r="195" spans="2:27">
      <c r="B195" s="684" t="s">
        <v>318</v>
      </c>
      <c r="C195" s="557">
        <v>354.35330317016411</v>
      </c>
      <c r="D195" s="402"/>
      <c r="E195" s="130" t="s">
        <v>318</v>
      </c>
      <c r="F195" s="93">
        <v>0.28000000000000003</v>
      </c>
      <c r="G195" s="529">
        <v>0.95</v>
      </c>
      <c r="H195" s="529">
        <v>0</v>
      </c>
      <c r="I195" s="529">
        <v>0</v>
      </c>
      <c r="J195" s="529">
        <v>0</v>
      </c>
      <c r="K195" s="529">
        <v>0.05</v>
      </c>
      <c r="L195" s="125" t="str">
        <f>M399</f>
        <v>Middle_Africa</v>
      </c>
      <c r="M195" s="130" t="s">
        <v>318</v>
      </c>
      <c r="N195" s="561">
        <v>0.28399999999999997</v>
      </c>
      <c r="O195" s="561">
        <v>0</v>
      </c>
      <c r="P195" s="561">
        <v>0.08</v>
      </c>
      <c r="Q195" s="561">
        <v>0</v>
      </c>
      <c r="R195" s="561">
        <v>1.2999999999999999E-2</v>
      </c>
      <c r="S195" s="561">
        <v>0</v>
      </c>
      <c r="T195" s="561">
        <v>0</v>
      </c>
      <c r="U195" s="561">
        <v>7.0999999999999994E-2</v>
      </c>
      <c r="V195" s="561">
        <v>1.4E-2</v>
      </c>
      <c r="W195" s="561">
        <v>1.0999999999999999E-2</v>
      </c>
      <c r="X195" s="561">
        <v>0.52700000000000002</v>
      </c>
      <c r="Y195" s="125"/>
      <c r="Z195" s="130">
        <v>27.3</v>
      </c>
      <c r="AA195" s="125"/>
    </row>
    <row r="196" spans="2:27">
      <c r="B196" s="684" t="s">
        <v>358</v>
      </c>
      <c r="C196" s="557">
        <v>213.36269883078725</v>
      </c>
      <c r="D196" s="402"/>
      <c r="E196" s="560" t="s">
        <v>358</v>
      </c>
      <c r="F196" s="93">
        <v>0.85</v>
      </c>
      <c r="G196" s="529">
        <v>0</v>
      </c>
      <c r="H196" s="529">
        <v>0</v>
      </c>
      <c r="I196" s="529">
        <v>0</v>
      </c>
      <c r="J196" s="529">
        <v>0.12</v>
      </c>
      <c r="K196" s="529">
        <v>0.88</v>
      </c>
      <c r="L196" s="125" t="str">
        <f>M401</f>
        <v>Northern_America</v>
      </c>
      <c r="M196" s="130" t="s">
        <v>358</v>
      </c>
      <c r="N196" s="561">
        <v>0.188</v>
      </c>
      <c r="O196" s="561">
        <v>5.6000000000000001E-2</v>
      </c>
      <c r="P196" s="561">
        <v>0.32300000000000001</v>
      </c>
      <c r="Q196" s="561">
        <v>0</v>
      </c>
      <c r="R196" s="561">
        <v>0</v>
      </c>
      <c r="S196" s="561">
        <v>0</v>
      </c>
      <c r="T196" s="561">
        <v>0</v>
      </c>
      <c r="U196" s="561">
        <v>0.13100000000000001</v>
      </c>
      <c r="V196" s="561">
        <v>3.4000000000000002E-2</v>
      </c>
      <c r="W196" s="561">
        <v>3.1E-2</v>
      </c>
      <c r="X196" s="561">
        <v>0.23699999999999999</v>
      </c>
      <c r="Y196" s="125"/>
      <c r="Z196" s="130">
        <v>38.200000000000003</v>
      </c>
      <c r="AA196" s="125"/>
    </row>
    <row r="197" spans="2:27">
      <c r="B197" s="684" t="s">
        <v>573</v>
      </c>
      <c r="C197" s="557">
        <v>434.81413856751823</v>
      </c>
      <c r="D197" s="402" t="s">
        <v>653</v>
      </c>
      <c r="E197" s="130"/>
      <c r="F197" s="558">
        <f>F409</f>
        <v>0.47</v>
      </c>
      <c r="G197" s="93"/>
      <c r="H197" s="93"/>
      <c r="I197" s="93"/>
      <c r="J197" s="93"/>
      <c r="K197" s="93"/>
      <c r="L197" s="380" t="str">
        <f>M409</f>
        <v>Southern_Europe</v>
      </c>
      <c r="M197" s="130"/>
      <c r="N197" s="562">
        <f>N409</f>
        <v>0.35799999999999998</v>
      </c>
      <c r="O197" s="562">
        <f t="shared" ref="O197:X197" si="36">O409</f>
        <v>1.4E-2</v>
      </c>
      <c r="P197" s="562">
        <f t="shared" si="36"/>
        <v>0.214</v>
      </c>
      <c r="Q197" s="562">
        <f t="shared" si="36"/>
        <v>1.2E-2</v>
      </c>
      <c r="R197" s="562">
        <f t="shared" si="36"/>
        <v>2.8000000000000001E-2</v>
      </c>
      <c r="S197" s="562">
        <f t="shared" si="36"/>
        <v>1.0999999999999999E-2</v>
      </c>
      <c r="T197" s="562">
        <f t="shared" si="36"/>
        <v>2E-3</v>
      </c>
      <c r="U197" s="562">
        <f t="shared" si="36"/>
        <v>0.14099999999999999</v>
      </c>
      <c r="V197" s="562">
        <f t="shared" si="36"/>
        <v>0.02</v>
      </c>
      <c r="W197" s="562">
        <f t="shared" si="36"/>
        <v>3.5000000000000003E-2</v>
      </c>
      <c r="X197" s="562">
        <f t="shared" si="36"/>
        <v>0.16700000000000001</v>
      </c>
      <c r="Y197" s="125" t="s">
        <v>653</v>
      </c>
      <c r="Z197" s="130"/>
      <c r="AA197" s="125"/>
    </row>
    <row r="198" spans="2:27">
      <c r="B198" s="684" t="s">
        <v>574</v>
      </c>
      <c r="C198" s="557">
        <v>505.02036075606645</v>
      </c>
      <c r="D198" s="402"/>
      <c r="E198" s="560" t="s">
        <v>411</v>
      </c>
      <c r="F198" s="93">
        <v>0.18</v>
      </c>
      <c r="G198" s="93"/>
      <c r="H198" s="93"/>
      <c r="I198" s="93"/>
      <c r="J198" s="93"/>
      <c r="K198" s="93"/>
      <c r="L198" s="125" t="str">
        <f>M410</f>
        <v>Western_Africa</v>
      </c>
      <c r="M198" s="130"/>
      <c r="N198" s="562">
        <f>N410</f>
        <v>0.53900000000000003</v>
      </c>
      <c r="O198" s="562">
        <f t="shared" ref="O198:X198" si="37">O410</f>
        <v>0</v>
      </c>
      <c r="P198" s="562">
        <f t="shared" si="37"/>
        <v>7.4999999999999997E-2</v>
      </c>
      <c r="Q198" s="562">
        <f t="shared" si="37"/>
        <v>0</v>
      </c>
      <c r="R198" s="562">
        <f t="shared" si="37"/>
        <v>1.9E-2</v>
      </c>
      <c r="S198" s="562">
        <f t="shared" si="37"/>
        <v>0</v>
      </c>
      <c r="T198" s="562">
        <f t="shared" si="37"/>
        <v>0</v>
      </c>
      <c r="U198" s="562">
        <f t="shared" si="37"/>
        <v>6.4000000000000001E-2</v>
      </c>
      <c r="V198" s="562">
        <f t="shared" si="37"/>
        <v>2.7E-2</v>
      </c>
      <c r="W198" s="562">
        <f t="shared" si="37"/>
        <v>1.2999999999999999E-2</v>
      </c>
      <c r="X198" s="562">
        <f t="shared" si="37"/>
        <v>0.26500000000000001</v>
      </c>
      <c r="Y198" s="125" t="s">
        <v>653</v>
      </c>
      <c r="Z198" s="130">
        <v>0.6</v>
      </c>
      <c r="AA198" s="125"/>
    </row>
    <row r="199" spans="2:27">
      <c r="B199" s="684" t="s">
        <v>575</v>
      </c>
      <c r="C199" s="557">
        <v>372.6714673977749</v>
      </c>
      <c r="D199" s="402" t="s">
        <v>653</v>
      </c>
      <c r="E199" s="130"/>
      <c r="F199" s="558">
        <f>F392</f>
        <v>0.78</v>
      </c>
      <c r="G199" s="93"/>
      <c r="H199" s="93"/>
      <c r="I199" s="93"/>
      <c r="J199" s="93"/>
      <c r="K199" s="93"/>
      <c r="L199" s="380" t="s">
        <v>661</v>
      </c>
      <c r="M199" s="130"/>
      <c r="N199" s="562">
        <f>N393</f>
        <v>0.627</v>
      </c>
      <c r="O199" s="562">
        <f t="shared" ref="O199:X199" si="38">O393</f>
        <v>0</v>
      </c>
      <c r="P199" s="562">
        <f t="shared" si="38"/>
        <v>0.126</v>
      </c>
      <c r="Q199" s="562">
        <f t="shared" si="38"/>
        <v>3.0000000000000001E-3</v>
      </c>
      <c r="R199" s="562">
        <f t="shared" si="38"/>
        <v>2.1999999999999999E-2</v>
      </c>
      <c r="S199" s="562">
        <f t="shared" si="38"/>
        <v>0</v>
      </c>
      <c r="T199" s="562">
        <f t="shared" si="38"/>
        <v>0</v>
      </c>
      <c r="U199" s="562">
        <f t="shared" si="38"/>
        <v>0.10299999999999999</v>
      </c>
      <c r="V199" s="562">
        <f t="shared" si="38"/>
        <v>2.7E-2</v>
      </c>
      <c r="W199" s="562">
        <f t="shared" si="38"/>
        <v>3.3000000000000002E-2</v>
      </c>
      <c r="X199" s="562">
        <f t="shared" si="38"/>
        <v>0.06</v>
      </c>
      <c r="Y199" s="125" t="s">
        <v>653</v>
      </c>
      <c r="Z199" s="130"/>
      <c r="AA199" s="125"/>
    </row>
    <row r="200" spans="2:27">
      <c r="B200" s="684" t="s">
        <v>399</v>
      </c>
      <c r="C200" s="557">
        <v>76.543270540411157</v>
      </c>
      <c r="D200" s="402"/>
      <c r="E200" s="560" t="s">
        <v>399</v>
      </c>
      <c r="F200" s="93">
        <v>0.18</v>
      </c>
      <c r="G200" s="93"/>
      <c r="H200" s="93"/>
      <c r="I200" s="93"/>
      <c r="J200" s="93"/>
      <c r="K200" s="93"/>
      <c r="L200" s="125" t="str">
        <f>M399</f>
        <v>Middle_Africa</v>
      </c>
      <c r="M200" s="130"/>
      <c r="N200" s="562">
        <f t="shared" ref="N200:X200" si="39">N399</f>
        <v>0.28399999999999997</v>
      </c>
      <c r="O200" s="562">
        <f t="shared" si="39"/>
        <v>0</v>
      </c>
      <c r="P200" s="562">
        <f t="shared" si="39"/>
        <v>0.08</v>
      </c>
      <c r="Q200" s="562">
        <f t="shared" si="39"/>
        <v>0</v>
      </c>
      <c r="R200" s="562">
        <f t="shared" si="39"/>
        <v>1.2999999999999999E-2</v>
      </c>
      <c r="S200" s="562">
        <f t="shared" si="39"/>
        <v>0</v>
      </c>
      <c r="T200" s="562">
        <f t="shared" si="39"/>
        <v>0</v>
      </c>
      <c r="U200" s="562">
        <f t="shared" si="39"/>
        <v>7.0999999999999994E-2</v>
      </c>
      <c r="V200" s="562">
        <f t="shared" si="39"/>
        <v>1.4E-2</v>
      </c>
      <c r="W200" s="562">
        <f t="shared" si="39"/>
        <v>1.0999999999999999E-2</v>
      </c>
      <c r="X200" s="562">
        <f t="shared" si="39"/>
        <v>0.52700000000000002</v>
      </c>
      <c r="Y200" s="125" t="s">
        <v>653</v>
      </c>
      <c r="Z200" s="130">
        <v>4.9000000000000004</v>
      </c>
      <c r="AA200" s="125"/>
    </row>
    <row r="201" spans="2:27">
      <c r="B201" s="684" t="s">
        <v>400</v>
      </c>
      <c r="C201" s="557">
        <v>580.85894445251802</v>
      </c>
      <c r="D201" s="402"/>
      <c r="E201" s="560" t="s">
        <v>400</v>
      </c>
      <c r="F201" s="93">
        <v>0.18</v>
      </c>
      <c r="G201" s="93"/>
      <c r="H201" s="93"/>
      <c r="I201" s="93"/>
      <c r="J201" s="93"/>
      <c r="K201" s="93"/>
      <c r="L201" s="125" t="str">
        <f>M399</f>
        <v>Middle_Africa</v>
      </c>
      <c r="M201" s="130"/>
      <c r="N201" s="562">
        <f t="shared" ref="N201:X201" si="40">N399</f>
        <v>0.28399999999999997</v>
      </c>
      <c r="O201" s="562">
        <f t="shared" si="40"/>
        <v>0</v>
      </c>
      <c r="P201" s="562">
        <f t="shared" si="40"/>
        <v>0.08</v>
      </c>
      <c r="Q201" s="562">
        <f t="shared" si="40"/>
        <v>0</v>
      </c>
      <c r="R201" s="562">
        <f t="shared" si="40"/>
        <v>1.2999999999999999E-2</v>
      </c>
      <c r="S201" s="562">
        <f t="shared" si="40"/>
        <v>0</v>
      </c>
      <c r="T201" s="562">
        <f t="shared" si="40"/>
        <v>0</v>
      </c>
      <c r="U201" s="562">
        <f t="shared" si="40"/>
        <v>7.0999999999999994E-2</v>
      </c>
      <c r="V201" s="562">
        <f t="shared" si="40"/>
        <v>1.4E-2</v>
      </c>
      <c r="W201" s="562">
        <f t="shared" si="40"/>
        <v>1.0999999999999999E-2</v>
      </c>
      <c r="X201" s="562">
        <f t="shared" si="40"/>
        <v>0.52700000000000002</v>
      </c>
      <c r="Y201" s="125" t="s">
        <v>653</v>
      </c>
      <c r="Z201" s="130">
        <v>17.399999999999999</v>
      </c>
      <c r="AA201" s="125"/>
    </row>
    <row r="202" spans="2:27">
      <c r="B202" s="684" t="s">
        <v>576</v>
      </c>
      <c r="C202" s="557">
        <v>388.64330796075546</v>
      </c>
      <c r="D202" s="402" t="s">
        <v>653</v>
      </c>
      <c r="E202" s="130"/>
      <c r="F202" s="558">
        <f>F412</f>
        <v>0.59</v>
      </c>
      <c r="G202" s="93"/>
      <c r="H202" s="93"/>
      <c r="I202" s="93"/>
      <c r="J202" s="93"/>
      <c r="K202" s="93"/>
      <c r="L202" s="380" t="str">
        <f>M412</f>
        <v>Western_Europe</v>
      </c>
      <c r="M202" s="130"/>
      <c r="N202" s="562">
        <f>N412</f>
        <v>0.33200000000000002</v>
      </c>
      <c r="O202" s="562">
        <f t="shared" ref="O202:X202" si="41">O412</f>
        <v>2.7E-2</v>
      </c>
      <c r="P202" s="562">
        <f t="shared" si="41"/>
        <v>0.17199999999999999</v>
      </c>
      <c r="Q202" s="562">
        <f t="shared" si="41"/>
        <v>2.3E-2</v>
      </c>
      <c r="R202" s="562">
        <f t="shared" si="41"/>
        <v>5.8999999999999997E-2</v>
      </c>
      <c r="S202" s="562">
        <f t="shared" si="41"/>
        <v>0.03</v>
      </c>
      <c r="T202" s="562">
        <f t="shared" si="41"/>
        <v>0</v>
      </c>
      <c r="U202" s="562">
        <f t="shared" si="41"/>
        <v>0.20499999999999999</v>
      </c>
      <c r="V202" s="562">
        <f t="shared" si="41"/>
        <v>1.4999999999999999E-2</v>
      </c>
      <c r="W202" s="562">
        <f t="shared" si="41"/>
        <v>1.4E-2</v>
      </c>
      <c r="X202" s="562">
        <f t="shared" si="41"/>
        <v>0.123</v>
      </c>
      <c r="Y202" s="125" t="s">
        <v>653</v>
      </c>
      <c r="Z202" s="130">
        <v>0.2</v>
      </c>
      <c r="AA202" s="125"/>
    </row>
    <row r="203" spans="2:27">
      <c r="B203" s="684" t="s">
        <v>453</v>
      </c>
      <c r="C203" s="557">
        <v>235.22759412950063</v>
      </c>
      <c r="D203" s="402"/>
      <c r="E203" s="130" t="s">
        <v>453</v>
      </c>
      <c r="F203" s="93">
        <v>0.35</v>
      </c>
      <c r="G203" s="529">
        <v>0</v>
      </c>
      <c r="H203" s="529">
        <v>1</v>
      </c>
      <c r="I203" s="529">
        <v>0</v>
      </c>
      <c r="J203" s="529">
        <v>0</v>
      </c>
      <c r="K203" s="529">
        <v>0</v>
      </c>
      <c r="L203" s="125" t="str">
        <f>M405</f>
        <v>South_America</v>
      </c>
      <c r="M203" s="130"/>
      <c r="N203" s="562">
        <f t="shared" ref="N203:X203" si="42">N405</f>
        <v>0.54100000000000004</v>
      </c>
      <c r="O203" s="562">
        <f t="shared" si="42"/>
        <v>3.3000000000000002E-2</v>
      </c>
      <c r="P203" s="562">
        <f t="shared" si="42"/>
        <v>0.124</v>
      </c>
      <c r="Q203" s="562">
        <f t="shared" si="42"/>
        <v>0</v>
      </c>
      <c r="R203" s="562">
        <f t="shared" si="42"/>
        <v>1.7000000000000001E-2</v>
      </c>
      <c r="S203" s="562">
        <f t="shared" si="42"/>
        <v>1.9E-2</v>
      </c>
      <c r="T203" s="562">
        <f t="shared" si="42"/>
        <v>6.0000000000000001E-3</v>
      </c>
      <c r="U203" s="562">
        <f t="shared" si="42"/>
        <v>0.13700000000000001</v>
      </c>
      <c r="V203" s="562">
        <f t="shared" si="42"/>
        <v>0.02</v>
      </c>
      <c r="W203" s="562">
        <f t="shared" si="42"/>
        <v>0.03</v>
      </c>
      <c r="X203" s="562">
        <f t="shared" si="42"/>
        <v>7.1999999999999995E-2</v>
      </c>
      <c r="Y203" s="125" t="s">
        <v>653</v>
      </c>
      <c r="Z203" s="130">
        <v>19.600000000000001</v>
      </c>
      <c r="AA203" s="125"/>
    </row>
    <row r="204" spans="2:27">
      <c r="B204" s="684" t="s">
        <v>577</v>
      </c>
      <c r="C204" s="557">
        <v>485.41165818310941</v>
      </c>
      <c r="D204" s="402"/>
      <c r="E204" s="560" t="s">
        <v>286</v>
      </c>
      <c r="F204" s="461">
        <v>0.37</v>
      </c>
      <c r="G204" s="93"/>
      <c r="H204" s="93"/>
      <c r="I204" s="93"/>
      <c r="J204" s="93"/>
      <c r="K204" s="93"/>
      <c r="L204" s="125" t="str">
        <f>M396</f>
        <v>Eastern_Asia</v>
      </c>
      <c r="M204" s="130" t="s">
        <v>286</v>
      </c>
      <c r="N204" s="561">
        <v>0.59099999999999997</v>
      </c>
      <c r="O204" s="561">
        <v>0</v>
      </c>
      <c r="P204" s="561">
        <v>8.5000000000000006E-2</v>
      </c>
      <c r="Q204" s="561">
        <v>1.6E-2</v>
      </c>
      <c r="R204" s="561">
        <v>4.1000000000000002E-2</v>
      </c>
      <c r="S204" s="561">
        <v>0</v>
      </c>
      <c r="T204" s="561">
        <v>0</v>
      </c>
      <c r="U204" s="561">
        <v>0.13</v>
      </c>
      <c r="V204" s="561">
        <v>1.0999999999999999E-2</v>
      </c>
      <c r="W204" s="561">
        <v>4.1000000000000002E-2</v>
      </c>
      <c r="X204" s="561">
        <v>8.5000000000000006E-2</v>
      </c>
      <c r="Y204" s="125"/>
      <c r="Z204" s="130">
        <v>1412.3</v>
      </c>
      <c r="AA204" s="125"/>
    </row>
    <row r="205" spans="2:27">
      <c r="B205" s="684" t="s">
        <v>454</v>
      </c>
      <c r="C205" s="557">
        <v>208.3405816551489</v>
      </c>
      <c r="D205" s="402"/>
      <c r="E205" s="560" t="s">
        <v>454</v>
      </c>
      <c r="F205" s="461">
        <v>0.35</v>
      </c>
      <c r="G205" s="529">
        <v>0.54</v>
      </c>
      <c r="H205" s="529">
        <v>0.46</v>
      </c>
      <c r="I205" s="529">
        <v>0</v>
      </c>
      <c r="J205" s="529">
        <v>0</v>
      </c>
      <c r="K205" s="529">
        <v>0</v>
      </c>
      <c r="L205" s="125" t="str">
        <f>M405</f>
        <v>South_America</v>
      </c>
      <c r="M205" s="130"/>
      <c r="N205" s="562">
        <f t="shared" ref="N205:X205" si="43">N405</f>
        <v>0.54100000000000004</v>
      </c>
      <c r="O205" s="562">
        <f t="shared" si="43"/>
        <v>3.3000000000000002E-2</v>
      </c>
      <c r="P205" s="562">
        <f t="shared" si="43"/>
        <v>0.124</v>
      </c>
      <c r="Q205" s="562">
        <f t="shared" si="43"/>
        <v>0</v>
      </c>
      <c r="R205" s="562">
        <f t="shared" si="43"/>
        <v>1.7000000000000001E-2</v>
      </c>
      <c r="S205" s="562">
        <f t="shared" si="43"/>
        <v>1.9E-2</v>
      </c>
      <c r="T205" s="562">
        <f t="shared" si="43"/>
        <v>6.0000000000000001E-3</v>
      </c>
      <c r="U205" s="562">
        <f t="shared" si="43"/>
        <v>0.13700000000000001</v>
      </c>
      <c r="V205" s="562">
        <f t="shared" si="43"/>
        <v>0.02</v>
      </c>
      <c r="W205" s="562">
        <f t="shared" si="43"/>
        <v>0.03</v>
      </c>
      <c r="X205" s="562">
        <f t="shared" si="43"/>
        <v>7.1999999999999995E-2</v>
      </c>
      <c r="Y205" s="125" t="s">
        <v>653</v>
      </c>
      <c r="Z205" s="130">
        <v>50.9</v>
      </c>
      <c r="AA205" s="125"/>
    </row>
    <row r="206" spans="2:27">
      <c r="B206" s="684" t="s">
        <v>388</v>
      </c>
      <c r="C206" s="557">
        <v>589.11210738721206</v>
      </c>
      <c r="D206" s="402"/>
      <c r="E206" s="560" t="s">
        <v>388</v>
      </c>
      <c r="F206" s="461">
        <v>0.81</v>
      </c>
      <c r="G206" s="93"/>
      <c r="H206" s="93"/>
      <c r="I206" s="93"/>
      <c r="J206" s="93"/>
      <c r="K206" s="93"/>
      <c r="L206" s="125" t="str">
        <f>M395</f>
        <v>Eastern_Africa</v>
      </c>
      <c r="M206" s="563"/>
      <c r="N206" s="562">
        <f t="shared" ref="N206:X206" si="44">N395</f>
        <v>0.44400000000000001</v>
      </c>
      <c r="O206" s="562">
        <f t="shared" si="44"/>
        <v>6.9000000000000006E-2</v>
      </c>
      <c r="P206" s="562">
        <f t="shared" si="44"/>
        <v>0.104</v>
      </c>
      <c r="Q206" s="562">
        <f t="shared" si="44"/>
        <v>5.0000000000000001E-3</v>
      </c>
      <c r="R206" s="562">
        <f t="shared" si="44"/>
        <v>0.03</v>
      </c>
      <c r="S206" s="562">
        <f t="shared" si="44"/>
        <v>0</v>
      </c>
      <c r="T206" s="562">
        <f t="shared" si="44"/>
        <v>4.0000000000000001E-3</v>
      </c>
      <c r="U206" s="562">
        <f t="shared" si="44"/>
        <v>0.08</v>
      </c>
      <c r="V206" s="562">
        <f t="shared" si="44"/>
        <v>2.5999999999999999E-2</v>
      </c>
      <c r="W206" s="562">
        <f t="shared" si="44"/>
        <v>2.1000000000000001E-2</v>
      </c>
      <c r="X206" s="562">
        <f t="shared" si="44"/>
        <v>0.217</v>
      </c>
      <c r="Y206" s="125" t="s">
        <v>653</v>
      </c>
      <c r="Z206" s="130">
        <v>0.9</v>
      </c>
      <c r="AA206" s="125"/>
    </row>
    <row r="207" spans="2:27">
      <c r="B207" s="684" t="s">
        <v>578</v>
      </c>
      <c r="C207" s="557">
        <v>0.3731949990667075</v>
      </c>
      <c r="D207" s="402"/>
      <c r="E207" s="560" t="s">
        <v>402</v>
      </c>
      <c r="F207" s="461">
        <v>0.18</v>
      </c>
      <c r="G207" s="93"/>
      <c r="H207" s="93"/>
      <c r="I207" s="93"/>
      <c r="J207" s="93"/>
      <c r="K207" s="93"/>
      <c r="L207" s="125" t="str">
        <f>M399</f>
        <v>Middle_Africa</v>
      </c>
      <c r="M207" s="130"/>
      <c r="N207" s="562">
        <f t="shared" ref="N207:X207" si="45">N399</f>
        <v>0.28399999999999997</v>
      </c>
      <c r="O207" s="562">
        <f t="shared" si="45"/>
        <v>0</v>
      </c>
      <c r="P207" s="562">
        <f t="shared" si="45"/>
        <v>0.08</v>
      </c>
      <c r="Q207" s="562">
        <f t="shared" si="45"/>
        <v>0</v>
      </c>
      <c r="R207" s="562">
        <f t="shared" si="45"/>
        <v>1.2999999999999999E-2</v>
      </c>
      <c r="S207" s="562">
        <f t="shared" si="45"/>
        <v>0</v>
      </c>
      <c r="T207" s="562">
        <f t="shared" si="45"/>
        <v>0</v>
      </c>
      <c r="U207" s="562">
        <f t="shared" si="45"/>
        <v>7.0999999999999994E-2</v>
      </c>
      <c r="V207" s="562">
        <f t="shared" si="45"/>
        <v>1.4E-2</v>
      </c>
      <c r="W207" s="562">
        <f t="shared" si="45"/>
        <v>1.0999999999999999E-2</v>
      </c>
      <c r="X207" s="562">
        <f t="shared" si="45"/>
        <v>0.52700000000000002</v>
      </c>
      <c r="Y207" s="125" t="s">
        <v>653</v>
      </c>
      <c r="Z207" s="130">
        <v>92.5</v>
      </c>
      <c r="AA207" s="125"/>
    </row>
    <row r="208" spans="2:27">
      <c r="B208" s="684" t="s">
        <v>579</v>
      </c>
      <c r="C208" s="557">
        <v>405.27115015885988</v>
      </c>
      <c r="D208" s="402"/>
      <c r="E208" s="560" t="s">
        <v>401</v>
      </c>
      <c r="F208" s="461">
        <v>0.18</v>
      </c>
      <c r="G208" s="93"/>
      <c r="H208" s="93"/>
      <c r="I208" s="93"/>
      <c r="J208" s="93"/>
      <c r="K208" s="93"/>
      <c r="L208" s="125" t="str">
        <f>M399</f>
        <v>Middle_Africa</v>
      </c>
      <c r="M208" s="130"/>
      <c r="N208" s="562">
        <f t="shared" ref="N208:X208" si="46">N399</f>
        <v>0.28399999999999997</v>
      </c>
      <c r="O208" s="562">
        <f t="shared" si="46"/>
        <v>0</v>
      </c>
      <c r="P208" s="562">
        <f t="shared" si="46"/>
        <v>0.08</v>
      </c>
      <c r="Q208" s="562">
        <f t="shared" si="46"/>
        <v>0</v>
      </c>
      <c r="R208" s="562">
        <f t="shared" si="46"/>
        <v>1.2999999999999999E-2</v>
      </c>
      <c r="S208" s="562">
        <f t="shared" si="46"/>
        <v>0</v>
      </c>
      <c r="T208" s="562">
        <f t="shared" si="46"/>
        <v>0</v>
      </c>
      <c r="U208" s="562">
        <f t="shared" si="46"/>
        <v>7.0999999999999994E-2</v>
      </c>
      <c r="V208" s="562">
        <f t="shared" si="46"/>
        <v>1.4E-2</v>
      </c>
      <c r="W208" s="562">
        <f t="shared" si="46"/>
        <v>1.0999999999999999E-2</v>
      </c>
      <c r="X208" s="562">
        <f t="shared" si="46"/>
        <v>0.52700000000000002</v>
      </c>
      <c r="Y208" s="125" t="s">
        <v>653</v>
      </c>
      <c r="Z208" s="130">
        <v>5.7</v>
      </c>
      <c r="AA208" s="125"/>
    </row>
    <row r="209" spans="2:27">
      <c r="B209" s="684" t="s">
        <v>580</v>
      </c>
      <c r="C209" s="557">
        <v>421.72474668190364</v>
      </c>
      <c r="D209" s="402" t="s">
        <v>653</v>
      </c>
      <c r="E209" s="130"/>
      <c r="F209" s="564">
        <f>F403</f>
        <v>0.6</v>
      </c>
      <c r="G209" s="93"/>
      <c r="H209" s="93"/>
      <c r="I209" s="93"/>
      <c r="J209" s="93"/>
      <c r="K209" s="93"/>
      <c r="L209" s="380" t="str">
        <f>M403</f>
        <v>Oceania</v>
      </c>
      <c r="M209" s="130"/>
      <c r="N209" s="562">
        <f>N403</f>
        <v>0.25900000000000001</v>
      </c>
      <c r="O209" s="562">
        <f t="shared" ref="O209:X209" si="47">O403</f>
        <v>0.122</v>
      </c>
      <c r="P209" s="562">
        <f t="shared" si="47"/>
        <v>0.12</v>
      </c>
      <c r="Q209" s="562">
        <f t="shared" si="47"/>
        <v>6.5000000000000002E-2</v>
      </c>
      <c r="R209" s="562">
        <f t="shared" si="47"/>
        <v>2.9499999999999998E-2</v>
      </c>
      <c r="S209" s="562">
        <f t="shared" si="47"/>
        <v>3.5000000000000003E-2</v>
      </c>
      <c r="T209" s="562">
        <f t="shared" si="47"/>
        <v>0</v>
      </c>
      <c r="U209" s="562">
        <f t="shared" si="47"/>
        <v>8.3000000000000004E-2</v>
      </c>
      <c r="V209" s="562">
        <f t="shared" si="47"/>
        <v>1.7999999999999999E-2</v>
      </c>
      <c r="W209" s="562">
        <f t="shared" si="47"/>
        <v>2.8000000000000001E-2</v>
      </c>
      <c r="X209" s="562">
        <f t="shared" si="47"/>
        <v>0.24099999999999999</v>
      </c>
      <c r="Y209" s="125" t="s">
        <v>653</v>
      </c>
      <c r="Z209" s="130"/>
      <c r="AA209" s="125"/>
    </row>
    <row r="210" spans="2:27">
      <c r="B210" s="684" t="s">
        <v>447</v>
      </c>
      <c r="C210" s="557">
        <v>38.890542905425193</v>
      </c>
      <c r="D210" s="402"/>
      <c r="E210" s="560" t="s">
        <v>447</v>
      </c>
      <c r="F210" s="461">
        <v>0.5</v>
      </c>
      <c r="G210" s="529">
        <v>0.22</v>
      </c>
      <c r="H210" s="529">
        <v>0.72</v>
      </c>
      <c r="I210" s="529">
        <v>0</v>
      </c>
      <c r="J210" s="529">
        <v>0</v>
      </c>
      <c r="K210" s="529">
        <v>0.06</v>
      </c>
      <c r="L210" s="125" t="str">
        <f>M393</f>
        <v>Central_America</v>
      </c>
      <c r="M210" s="130"/>
      <c r="N210" s="562">
        <f t="shared" ref="N210:X210" si="48">N393</f>
        <v>0.627</v>
      </c>
      <c r="O210" s="562">
        <f t="shared" si="48"/>
        <v>0</v>
      </c>
      <c r="P210" s="562">
        <f t="shared" si="48"/>
        <v>0.126</v>
      </c>
      <c r="Q210" s="562">
        <f t="shared" si="48"/>
        <v>3.0000000000000001E-3</v>
      </c>
      <c r="R210" s="562">
        <f t="shared" si="48"/>
        <v>2.1999999999999999E-2</v>
      </c>
      <c r="S210" s="562">
        <f t="shared" si="48"/>
        <v>0</v>
      </c>
      <c r="T210" s="562">
        <f t="shared" si="48"/>
        <v>0</v>
      </c>
      <c r="U210" s="562">
        <f t="shared" si="48"/>
        <v>0.10299999999999999</v>
      </c>
      <c r="V210" s="562">
        <f t="shared" si="48"/>
        <v>2.7E-2</v>
      </c>
      <c r="W210" s="562">
        <f t="shared" si="48"/>
        <v>3.3000000000000002E-2</v>
      </c>
      <c r="X210" s="562">
        <f t="shared" si="48"/>
        <v>0.06</v>
      </c>
      <c r="Y210" s="125" t="s">
        <v>653</v>
      </c>
      <c r="Z210" s="130">
        <v>5.2</v>
      </c>
      <c r="AA210" s="125"/>
    </row>
    <row r="211" spans="2:27">
      <c r="B211" s="684" t="s">
        <v>412</v>
      </c>
      <c r="C211" s="557">
        <v>314.23207204883676</v>
      </c>
      <c r="D211" s="402"/>
      <c r="E211" s="560" t="s">
        <v>412</v>
      </c>
      <c r="F211" s="461">
        <v>0.18</v>
      </c>
      <c r="G211" s="93"/>
      <c r="H211" s="93"/>
      <c r="I211" s="93"/>
      <c r="J211" s="93"/>
      <c r="K211" s="93"/>
      <c r="L211" s="380" t="str">
        <f>M410</f>
        <v>Western_Africa</v>
      </c>
      <c r="M211" s="130"/>
      <c r="N211" s="562">
        <f t="shared" ref="N211:X211" si="49">N410</f>
        <v>0.53900000000000003</v>
      </c>
      <c r="O211" s="562">
        <f t="shared" si="49"/>
        <v>0</v>
      </c>
      <c r="P211" s="562">
        <f t="shared" si="49"/>
        <v>7.4999999999999997E-2</v>
      </c>
      <c r="Q211" s="562">
        <f t="shared" si="49"/>
        <v>0</v>
      </c>
      <c r="R211" s="562">
        <f t="shared" si="49"/>
        <v>1.9E-2</v>
      </c>
      <c r="S211" s="562">
        <f t="shared" si="49"/>
        <v>0</v>
      </c>
      <c r="T211" s="562">
        <f t="shared" si="49"/>
        <v>0</v>
      </c>
      <c r="U211" s="562">
        <f t="shared" si="49"/>
        <v>6.4000000000000001E-2</v>
      </c>
      <c r="V211" s="562">
        <f t="shared" si="49"/>
        <v>2.7E-2</v>
      </c>
      <c r="W211" s="562">
        <f t="shared" si="49"/>
        <v>1.2999999999999999E-2</v>
      </c>
      <c r="X211" s="562">
        <f t="shared" si="49"/>
        <v>0.26500000000000001</v>
      </c>
      <c r="Y211" s="125" t="s">
        <v>653</v>
      </c>
      <c r="Z211" s="130">
        <v>27.1</v>
      </c>
      <c r="AA211" s="125"/>
    </row>
    <row r="212" spans="2:27">
      <c r="B212" s="684" t="s">
        <v>338</v>
      </c>
      <c r="C212" s="557">
        <v>167.86317078875766</v>
      </c>
      <c r="D212" s="402"/>
      <c r="E212" s="130" t="s">
        <v>338</v>
      </c>
      <c r="F212" s="461">
        <v>0.38</v>
      </c>
      <c r="G212" s="529">
        <v>0</v>
      </c>
      <c r="H212" s="529">
        <v>0.94</v>
      </c>
      <c r="I212" s="529">
        <v>0</v>
      </c>
      <c r="J212" s="529">
        <v>0.01</v>
      </c>
      <c r="K212" s="529">
        <v>0.05</v>
      </c>
      <c r="L212" s="125" t="str">
        <f>M409</f>
        <v>Southern_Europe</v>
      </c>
      <c r="M212" s="130" t="s">
        <v>338</v>
      </c>
      <c r="N212" s="561">
        <v>0.309</v>
      </c>
      <c r="O212" s="561">
        <v>5.7000000000000002E-2</v>
      </c>
      <c r="P212" s="561">
        <v>0.23200000000000001</v>
      </c>
      <c r="Q212" s="561">
        <v>0.01</v>
      </c>
      <c r="R212" s="561">
        <v>3.6999999999999998E-2</v>
      </c>
      <c r="S212" s="561">
        <v>0.04</v>
      </c>
      <c r="T212" s="561">
        <v>0</v>
      </c>
      <c r="U212" s="561">
        <v>0.22900000000000001</v>
      </c>
      <c r="V212" s="561">
        <v>2.1000000000000001E-2</v>
      </c>
      <c r="W212" s="561">
        <v>3.6999999999999998E-2</v>
      </c>
      <c r="X212" s="561">
        <v>2.3E-2</v>
      </c>
      <c r="Y212" s="125"/>
      <c r="Z212" s="130">
        <v>4</v>
      </c>
      <c r="AA212" s="125"/>
    </row>
    <row r="213" spans="2:27">
      <c r="B213" s="684" t="s">
        <v>435</v>
      </c>
      <c r="C213" s="557">
        <v>391.16420340992102</v>
      </c>
      <c r="D213" s="402"/>
      <c r="E213" s="560" t="s">
        <v>435</v>
      </c>
      <c r="F213" s="461">
        <v>0.3</v>
      </c>
      <c r="G213" s="529">
        <v>0</v>
      </c>
      <c r="H213" s="529">
        <v>0.84</v>
      </c>
      <c r="I213" s="529">
        <v>0</v>
      </c>
      <c r="J213" s="529">
        <v>0.11</v>
      </c>
      <c r="K213" s="529">
        <v>0.04</v>
      </c>
      <c r="L213" s="125" t="str">
        <f>M393</f>
        <v>Central_America</v>
      </c>
      <c r="M213" s="130"/>
      <c r="N213" s="562">
        <f t="shared" ref="N213:X213" si="50">N393</f>
        <v>0.627</v>
      </c>
      <c r="O213" s="562">
        <f t="shared" si="50"/>
        <v>0</v>
      </c>
      <c r="P213" s="562">
        <f t="shared" si="50"/>
        <v>0.126</v>
      </c>
      <c r="Q213" s="562">
        <f t="shared" si="50"/>
        <v>3.0000000000000001E-3</v>
      </c>
      <c r="R213" s="562">
        <f t="shared" si="50"/>
        <v>2.1999999999999999E-2</v>
      </c>
      <c r="S213" s="562">
        <f t="shared" si="50"/>
        <v>0</v>
      </c>
      <c r="T213" s="562">
        <f t="shared" si="50"/>
        <v>0</v>
      </c>
      <c r="U213" s="562">
        <f t="shared" si="50"/>
        <v>0.10299999999999999</v>
      </c>
      <c r="V213" s="562">
        <f t="shared" si="50"/>
        <v>2.7E-2</v>
      </c>
      <c r="W213" s="562">
        <f t="shared" si="50"/>
        <v>3.3000000000000002E-2</v>
      </c>
      <c r="X213" s="562">
        <f t="shared" si="50"/>
        <v>0.06</v>
      </c>
      <c r="Y213" s="125" t="s">
        <v>653</v>
      </c>
      <c r="Z213" s="130">
        <v>11.2</v>
      </c>
      <c r="AA213" s="125"/>
    </row>
    <row r="214" spans="2:27">
      <c r="B214" s="684" t="s">
        <v>581</v>
      </c>
      <c r="C214" s="557">
        <v>505.73442734547314</v>
      </c>
      <c r="D214" s="402" t="s">
        <v>653</v>
      </c>
      <c r="E214" s="130"/>
      <c r="F214" s="558">
        <f>F392</f>
        <v>0.78</v>
      </c>
      <c r="G214" s="93"/>
      <c r="H214" s="93"/>
      <c r="I214" s="93"/>
      <c r="J214" s="93"/>
      <c r="K214" s="93"/>
      <c r="L214" s="380" t="s">
        <v>661</v>
      </c>
      <c r="M214" s="130"/>
      <c r="N214" s="562">
        <f>N393</f>
        <v>0.627</v>
      </c>
      <c r="O214" s="562">
        <f t="shared" ref="O214:X214" si="51">O393</f>
        <v>0</v>
      </c>
      <c r="P214" s="562">
        <f t="shared" si="51"/>
        <v>0.126</v>
      </c>
      <c r="Q214" s="562">
        <f t="shared" si="51"/>
        <v>3.0000000000000001E-3</v>
      </c>
      <c r="R214" s="562">
        <f t="shared" si="51"/>
        <v>2.1999999999999999E-2</v>
      </c>
      <c r="S214" s="562">
        <f t="shared" si="51"/>
        <v>0</v>
      </c>
      <c r="T214" s="562">
        <f t="shared" si="51"/>
        <v>0</v>
      </c>
      <c r="U214" s="562">
        <f t="shared" si="51"/>
        <v>0.10299999999999999</v>
      </c>
      <c r="V214" s="562">
        <f t="shared" si="51"/>
        <v>2.7E-2</v>
      </c>
      <c r="W214" s="562">
        <f t="shared" si="51"/>
        <v>3.3000000000000002E-2</v>
      </c>
      <c r="X214" s="562">
        <f t="shared" si="51"/>
        <v>0.06</v>
      </c>
      <c r="Y214" s="125" t="s">
        <v>653</v>
      </c>
      <c r="Z214" s="130">
        <v>0.2</v>
      </c>
      <c r="AA214" s="125"/>
    </row>
    <row r="215" spans="2:27">
      <c r="B215" s="684" t="s">
        <v>303</v>
      </c>
      <c r="C215" s="557">
        <v>438.0304755089935</v>
      </c>
      <c r="D215" s="402"/>
      <c r="E215" s="560" t="s">
        <v>303</v>
      </c>
      <c r="F215" s="461">
        <v>0.69</v>
      </c>
      <c r="G215" s="529">
        <v>0</v>
      </c>
      <c r="H215" s="529">
        <v>0.86</v>
      </c>
      <c r="I215" s="529">
        <v>0</v>
      </c>
      <c r="J215" s="529">
        <v>0</v>
      </c>
      <c r="K215" s="529">
        <v>0.14000000000000001</v>
      </c>
      <c r="L215" s="125" t="str">
        <f>M411</f>
        <v>Western_Asia</v>
      </c>
      <c r="M215" s="130" t="s">
        <v>303</v>
      </c>
      <c r="N215" s="561">
        <v>0.34200000000000003</v>
      </c>
      <c r="O215" s="561">
        <v>0.13100000000000001</v>
      </c>
      <c r="P215" s="561">
        <v>0.22500000000000001</v>
      </c>
      <c r="Q215" s="561">
        <v>0</v>
      </c>
      <c r="R215" s="561">
        <v>0</v>
      </c>
      <c r="S215" s="561">
        <v>0</v>
      </c>
      <c r="T215" s="561">
        <v>0</v>
      </c>
      <c r="U215" s="561">
        <v>6.7000000000000004E-2</v>
      </c>
      <c r="V215" s="561">
        <v>8.0000000000000002E-3</v>
      </c>
      <c r="W215" s="561">
        <v>5.2999999999999999E-2</v>
      </c>
      <c r="X215" s="561">
        <v>0.17399999999999999</v>
      </c>
      <c r="Y215" s="125"/>
      <c r="Z215" s="130">
        <v>1.2</v>
      </c>
      <c r="AA215" s="125"/>
    </row>
    <row r="216" spans="2:27">
      <c r="B216" s="684" t="s">
        <v>582</v>
      </c>
      <c r="C216" s="557">
        <v>461.30532071465791</v>
      </c>
      <c r="D216" s="402"/>
      <c r="E216" s="130" t="s">
        <v>324</v>
      </c>
      <c r="F216" s="461">
        <v>0.32</v>
      </c>
      <c r="G216" s="529">
        <v>0</v>
      </c>
      <c r="H216" s="529">
        <v>0.65</v>
      </c>
      <c r="I216" s="529">
        <v>0.15</v>
      </c>
      <c r="J216" s="529">
        <v>0.02</v>
      </c>
      <c r="K216" s="529">
        <v>0.18</v>
      </c>
      <c r="L216" s="125" t="str">
        <f>M397</f>
        <v>Eastern_Europe</v>
      </c>
      <c r="M216" s="130" t="s">
        <v>324</v>
      </c>
      <c r="N216" s="561">
        <v>0.35</v>
      </c>
      <c r="O216" s="561">
        <v>0</v>
      </c>
      <c r="P216" s="561">
        <v>0.16</v>
      </c>
      <c r="Q216" s="561">
        <v>0.13</v>
      </c>
      <c r="R216" s="561">
        <v>0.08</v>
      </c>
      <c r="S216" s="561">
        <v>0</v>
      </c>
      <c r="T216" s="561">
        <v>0</v>
      </c>
      <c r="U216" s="561">
        <v>0</v>
      </c>
      <c r="V216" s="561">
        <v>0</v>
      </c>
      <c r="W216" s="561">
        <v>0</v>
      </c>
      <c r="X216" s="561">
        <v>0.28000000000000003</v>
      </c>
      <c r="Y216" s="125"/>
      <c r="Z216" s="130">
        <v>10.7</v>
      </c>
      <c r="AA216" s="125"/>
    </row>
    <row r="217" spans="2:27">
      <c r="B217" s="684" t="s">
        <v>331</v>
      </c>
      <c r="C217" s="557">
        <v>155.24215224135511</v>
      </c>
      <c r="D217" s="402"/>
      <c r="E217" s="130" t="s">
        <v>331</v>
      </c>
      <c r="F217" s="461">
        <v>0.76</v>
      </c>
      <c r="G217" s="529">
        <v>0</v>
      </c>
      <c r="H217" s="529">
        <v>0.03</v>
      </c>
      <c r="I217" s="529">
        <v>0.48</v>
      </c>
      <c r="J217" s="529">
        <v>0.18</v>
      </c>
      <c r="K217" s="529">
        <v>0.31</v>
      </c>
      <c r="L217" s="125" t="str">
        <f>M402</f>
        <v>Northern_Europe</v>
      </c>
      <c r="M217" s="130" t="s">
        <v>331</v>
      </c>
      <c r="N217" s="561">
        <v>0.41</v>
      </c>
      <c r="O217" s="561">
        <v>4.1000000000000002E-2</v>
      </c>
      <c r="P217" s="561">
        <v>0.23200000000000001</v>
      </c>
      <c r="Q217" s="561">
        <v>0</v>
      </c>
      <c r="R217" s="561">
        <v>0</v>
      </c>
      <c r="S217" s="561">
        <v>0</v>
      </c>
      <c r="T217" s="561">
        <v>0</v>
      </c>
      <c r="U217" s="561">
        <v>9.1999999999999998E-2</v>
      </c>
      <c r="V217" s="561">
        <v>3.3000000000000002E-2</v>
      </c>
      <c r="W217" s="561">
        <v>2.9000000000000001E-2</v>
      </c>
      <c r="X217" s="561">
        <v>0.16300000000000001</v>
      </c>
      <c r="Y217" s="125"/>
      <c r="Z217" s="130">
        <v>5.8</v>
      </c>
      <c r="AA217" s="125"/>
    </row>
    <row r="218" spans="2:27">
      <c r="B218" s="684" t="s">
        <v>583</v>
      </c>
      <c r="C218" s="557">
        <v>575.4710042947454</v>
      </c>
      <c r="D218" s="402" t="s">
        <v>653</v>
      </c>
      <c r="E218" s="130"/>
      <c r="F218" s="564">
        <f>F395</f>
        <v>0.28999999999999998</v>
      </c>
      <c r="G218" s="93"/>
      <c r="H218" s="93"/>
      <c r="I218" s="93"/>
      <c r="J218" s="93"/>
      <c r="K218" s="93"/>
      <c r="L218" s="380" t="str">
        <f>M395</f>
        <v>Eastern_Africa</v>
      </c>
      <c r="M218" s="130"/>
      <c r="N218" s="562">
        <f>N395</f>
        <v>0.44400000000000001</v>
      </c>
      <c r="O218" s="562">
        <f t="shared" ref="O218:X218" si="52">O395</f>
        <v>6.9000000000000006E-2</v>
      </c>
      <c r="P218" s="562">
        <f t="shared" si="52"/>
        <v>0.104</v>
      </c>
      <c r="Q218" s="562">
        <f t="shared" si="52"/>
        <v>5.0000000000000001E-3</v>
      </c>
      <c r="R218" s="562">
        <f t="shared" si="52"/>
        <v>0.03</v>
      </c>
      <c r="S218" s="562">
        <f t="shared" si="52"/>
        <v>0</v>
      </c>
      <c r="T218" s="562">
        <f t="shared" si="52"/>
        <v>4.0000000000000001E-3</v>
      </c>
      <c r="U218" s="562">
        <f t="shared" si="52"/>
        <v>0.08</v>
      </c>
      <c r="V218" s="562">
        <f t="shared" si="52"/>
        <v>2.5999999999999999E-2</v>
      </c>
      <c r="W218" s="562">
        <f t="shared" si="52"/>
        <v>2.1000000000000001E-2</v>
      </c>
      <c r="X218" s="562">
        <f t="shared" si="52"/>
        <v>0.217</v>
      </c>
      <c r="Y218" s="125" t="s">
        <v>653</v>
      </c>
      <c r="Z218" s="130">
        <v>1</v>
      </c>
      <c r="AA218" s="125"/>
    </row>
    <row r="219" spans="2:27">
      <c r="B219" s="684" t="s">
        <v>436</v>
      </c>
      <c r="C219" s="557">
        <v>432.87633042985703</v>
      </c>
      <c r="D219" s="402"/>
      <c r="E219" s="560" t="s">
        <v>436</v>
      </c>
      <c r="F219" s="461">
        <v>0.32</v>
      </c>
      <c r="G219" s="529">
        <v>0</v>
      </c>
      <c r="H219" s="529">
        <v>1</v>
      </c>
      <c r="I219" s="529">
        <v>0</v>
      </c>
      <c r="J219" s="529">
        <v>0</v>
      </c>
      <c r="K219" s="529">
        <v>0</v>
      </c>
      <c r="L219" s="125" t="str">
        <f>M393</f>
        <v>Central_America</v>
      </c>
      <c r="M219" s="130"/>
      <c r="N219" s="562">
        <f t="shared" ref="N219:X219" si="53">N393</f>
        <v>0.627</v>
      </c>
      <c r="O219" s="562">
        <f t="shared" si="53"/>
        <v>0</v>
      </c>
      <c r="P219" s="562">
        <f t="shared" si="53"/>
        <v>0.126</v>
      </c>
      <c r="Q219" s="562">
        <f t="shared" si="53"/>
        <v>3.0000000000000001E-3</v>
      </c>
      <c r="R219" s="562">
        <f t="shared" si="53"/>
        <v>2.1999999999999999E-2</v>
      </c>
      <c r="S219" s="562">
        <f t="shared" si="53"/>
        <v>0</v>
      </c>
      <c r="T219" s="562">
        <f t="shared" si="53"/>
        <v>0</v>
      </c>
      <c r="U219" s="562">
        <f t="shared" si="53"/>
        <v>0.10299999999999999</v>
      </c>
      <c r="V219" s="562">
        <f t="shared" si="53"/>
        <v>2.7E-2</v>
      </c>
      <c r="W219" s="562">
        <f t="shared" si="53"/>
        <v>3.3000000000000002E-2</v>
      </c>
      <c r="X219" s="562">
        <f t="shared" si="53"/>
        <v>0.06</v>
      </c>
      <c r="Y219" s="125" t="s">
        <v>653</v>
      </c>
      <c r="Z219" s="130">
        <v>7.0000000000000007E-2</v>
      </c>
      <c r="AA219" s="125"/>
    </row>
    <row r="220" spans="2:27">
      <c r="B220" s="684" t="s">
        <v>437</v>
      </c>
      <c r="C220" s="557">
        <v>426.21990441060319</v>
      </c>
      <c r="D220" s="402"/>
      <c r="E220" s="560" t="s">
        <v>437</v>
      </c>
      <c r="F220" s="461">
        <v>0.43</v>
      </c>
      <c r="G220" s="93"/>
      <c r="H220" s="93"/>
      <c r="I220" s="93"/>
      <c r="J220" s="93"/>
      <c r="K220" s="93"/>
      <c r="L220" s="125" t="str">
        <f>M393</f>
        <v>Central_America</v>
      </c>
      <c r="M220" s="130"/>
      <c r="N220" s="562">
        <f t="shared" ref="N220:X220" si="54">N393</f>
        <v>0.627</v>
      </c>
      <c r="O220" s="562">
        <f t="shared" si="54"/>
        <v>0</v>
      </c>
      <c r="P220" s="562">
        <f t="shared" si="54"/>
        <v>0.126</v>
      </c>
      <c r="Q220" s="562">
        <f t="shared" si="54"/>
        <v>3.0000000000000001E-3</v>
      </c>
      <c r="R220" s="562">
        <f t="shared" si="54"/>
        <v>2.1999999999999999E-2</v>
      </c>
      <c r="S220" s="562">
        <f t="shared" si="54"/>
        <v>0</v>
      </c>
      <c r="T220" s="562">
        <f t="shared" si="54"/>
        <v>0</v>
      </c>
      <c r="U220" s="562">
        <f t="shared" si="54"/>
        <v>0.10299999999999999</v>
      </c>
      <c r="V220" s="562">
        <f t="shared" si="54"/>
        <v>2.7E-2</v>
      </c>
      <c r="W220" s="562">
        <f t="shared" si="54"/>
        <v>3.3000000000000002E-2</v>
      </c>
      <c r="X220" s="562">
        <f t="shared" si="54"/>
        <v>0.06</v>
      </c>
      <c r="Y220" s="125" t="s">
        <v>653</v>
      </c>
      <c r="Z220" s="130">
        <v>10.6</v>
      </c>
      <c r="AA220" s="125"/>
    </row>
    <row r="221" spans="2:27">
      <c r="B221" s="684" t="s">
        <v>455</v>
      </c>
      <c r="C221" s="557">
        <v>280.0294909278872</v>
      </c>
      <c r="D221" s="402"/>
      <c r="E221" s="560" t="s">
        <v>455</v>
      </c>
      <c r="F221" s="461">
        <v>0.41</v>
      </c>
      <c r="G221" s="93"/>
      <c r="H221" s="93"/>
      <c r="I221" s="93"/>
      <c r="J221" s="93"/>
      <c r="K221" s="93"/>
      <c r="L221" s="125" t="str">
        <f>M405</f>
        <v>South_America</v>
      </c>
      <c r="M221" s="130"/>
      <c r="N221" s="562">
        <f t="shared" ref="N221:X221" si="55">N405</f>
        <v>0.54100000000000004</v>
      </c>
      <c r="O221" s="562">
        <f t="shared" si="55"/>
        <v>3.3000000000000002E-2</v>
      </c>
      <c r="P221" s="562">
        <f t="shared" si="55"/>
        <v>0.124</v>
      </c>
      <c r="Q221" s="562">
        <f t="shared" si="55"/>
        <v>0</v>
      </c>
      <c r="R221" s="562">
        <f t="shared" si="55"/>
        <v>1.7000000000000001E-2</v>
      </c>
      <c r="S221" s="562">
        <f t="shared" si="55"/>
        <v>1.9E-2</v>
      </c>
      <c r="T221" s="562">
        <f t="shared" si="55"/>
        <v>6.0000000000000001E-3</v>
      </c>
      <c r="U221" s="562">
        <f t="shared" si="55"/>
        <v>0.13700000000000001</v>
      </c>
      <c r="V221" s="562">
        <f t="shared" si="55"/>
        <v>0.02</v>
      </c>
      <c r="W221" s="562">
        <f t="shared" si="55"/>
        <v>0.03</v>
      </c>
      <c r="X221" s="562">
        <f t="shared" si="55"/>
        <v>7.1999999999999995E-2</v>
      </c>
      <c r="Y221" s="125" t="s">
        <v>653</v>
      </c>
      <c r="Z221" s="130">
        <v>17.7</v>
      </c>
      <c r="AA221" s="125"/>
    </row>
    <row r="222" spans="2:27">
      <c r="B222" s="684" t="s">
        <v>384</v>
      </c>
      <c r="C222" s="557">
        <v>405.88937135029744</v>
      </c>
      <c r="D222" s="402"/>
      <c r="E222" s="560" t="s">
        <v>384</v>
      </c>
      <c r="F222" s="461">
        <v>0.5</v>
      </c>
      <c r="G222" s="93"/>
      <c r="H222" s="93"/>
      <c r="I222" s="93"/>
      <c r="J222" s="93"/>
      <c r="K222" s="93"/>
      <c r="L222" s="125" t="str">
        <f>M400</f>
        <v>Northern_Africa</v>
      </c>
      <c r="M222" s="130"/>
      <c r="N222" s="562">
        <f t="shared" ref="N222:X222" si="56">N400</f>
        <v>0.504</v>
      </c>
      <c r="O222" s="562">
        <f t="shared" si="56"/>
        <v>0</v>
      </c>
      <c r="P222" s="562">
        <f t="shared" si="56"/>
        <v>0.121</v>
      </c>
      <c r="Q222" s="562">
        <f t="shared" si="56"/>
        <v>0</v>
      </c>
      <c r="R222" s="562">
        <f t="shared" si="56"/>
        <v>5.8000000000000003E-2</v>
      </c>
      <c r="S222" s="562">
        <f t="shared" si="56"/>
        <v>0</v>
      </c>
      <c r="T222" s="562">
        <f t="shared" si="56"/>
        <v>0</v>
      </c>
      <c r="U222" s="562">
        <f t="shared" si="56"/>
        <v>0.13800000000000001</v>
      </c>
      <c r="V222" s="562">
        <f t="shared" si="56"/>
        <v>4.3999999999999997E-2</v>
      </c>
      <c r="W222" s="562">
        <f t="shared" si="56"/>
        <v>3.3000000000000002E-2</v>
      </c>
      <c r="X222" s="562">
        <f t="shared" si="56"/>
        <v>0.105</v>
      </c>
      <c r="Y222" s="125" t="s">
        <v>653</v>
      </c>
      <c r="Z222" s="130">
        <v>102.3</v>
      </c>
      <c r="AA222" s="125"/>
    </row>
    <row r="223" spans="2:27">
      <c r="B223" s="684" t="s">
        <v>448</v>
      </c>
      <c r="C223" s="557">
        <v>274.85008888093455</v>
      </c>
      <c r="D223" s="402"/>
      <c r="E223" s="560" t="s">
        <v>448</v>
      </c>
      <c r="F223" s="461">
        <v>0.41</v>
      </c>
      <c r="G223" s="93"/>
      <c r="H223" s="93"/>
      <c r="I223" s="93"/>
      <c r="J223" s="93"/>
      <c r="K223" s="93"/>
      <c r="L223" s="125" t="str">
        <f>M393</f>
        <v>Central_America</v>
      </c>
      <c r="M223" s="130"/>
      <c r="N223" s="562">
        <f t="shared" ref="N223:X223" si="57">N393</f>
        <v>0.627</v>
      </c>
      <c r="O223" s="562">
        <f t="shared" si="57"/>
        <v>0</v>
      </c>
      <c r="P223" s="562">
        <f t="shared" si="57"/>
        <v>0.126</v>
      </c>
      <c r="Q223" s="562">
        <f t="shared" si="57"/>
        <v>3.0000000000000001E-3</v>
      </c>
      <c r="R223" s="562">
        <f t="shared" si="57"/>
        <v>2.1999999999999999E-2</v>
      </c>
      <c r="S223" s="562">
        <f t="shared" si="57"/>
        <v>0</v>
      </c>
      <c r="T223" s="562">
        <f t="shared" si="57"/>
        <v>0</v>
      </c>
      <c r="U223" s="562">
        <f t="shared" si="57"/>
        <v>0.10299999999999999</v>
      </c>
      <c r="V223" s="562">
        <f t="shared" si="57"/>
        <v>2.7E-2</v>
      </c>
      <c r="W223" s="562">
        <f t="shared" si="57"/>
        <v>3.3000000000000002E-2</v>
      </c>
      <c r="X223" s="562">
        <f t="shared" si="57"/>
        <v>0.06</v>
      </c>
      <c r="Y223" s="125" t="s">
        <v>653</v>
      </c>
      <c r="Z223" s="130">
        <v>6.5</v>
      </c>
      <c r="AA223" s="125"/>
    </row>
    <row r="224" spans="2:27">
      <c r="B224" s="684" t="s">
        <v>584</v>
      </c>
      <c r="C224" s="557">
        <v>361.14391543849621</v>
      </c>
      <c r="D224" s="402" t="s">
        <v>653</v>
      </c>
      <c r="E224" s="130"/>
      <c r="F224" s="564">
        <f>F399</f>
        <v>0.19</v>
      </c>
      <c r="G224" s="93"/>
      <c r="H224" s="93"/>
      <c r="I224" s="93"/>
      <c r="J224" s="93"/>
      <c r="K224" s="93"/>
      <c r="L224" s="380" t="str">
        <f>M399</f>
        <v>Middle_Africa</v>
      </c>
      <c r="M224" s="130"/>
      <c r="N224" s="562">
        <f>N399</f>
        <v>0.28399999999999997</v>
      </c>
      <c r="O224" s="562">
        <f t="shared" ref="O224:X224" si="58">O399</f>
        <v>0</v>
      </c>
      <c r="P224" s="562">
        <f t="shared" si="58"/>
        <v>0.08</v>
      </c>
      <c r="Q224" s="562">
        <f t="shared" si="58"/>
        <v>0</v>
      </c>
      <c r="R224" s="562">
        <f t="shared" si="58"/>
        <v>1.2999999999999999E-2</v>
      </c>
      <c r="S224" s="562">
        <f t="shared" si="58"/>
        <v>0</v>
      </c>
      <c r="T224" s="562">
        <f t="shared" si="58"/>
        <v>0</v>
      </c>
      <c r="U224" s="562">
        <f t="shared" si="58"/>
        <v>7.0999999999999994E-2</v>
      </c>
      <c r="V224" s="562">
        <f t="shared" si="58"/>
        <v>1.4E-2</v>
      </c>
      <c r="W224" s="562">
        <f t="shared" si="58"/>
        <v>1.0999999999999999E-2</v>
      </c>
      <c r="X224" s="562">
        <f t="shared" si="58"/>
        <v>0.52700000000000002</v>
      </c>
      <c r="Y224" s="125" t="s">
        <v>653</v>
      </c>
      <c r="Z224" s="130">
        <v>1.4</v>
      </c>
      <c r="AA224" s="125"/>
    </row>
    <row r="225" spans="2:27">
      <c r="B225" s="684" t="s">
        <v>389</v>
      </c>
      <c r="C225" s="557">
        <v>703.65909562906108</v>
      </c>
      <c r="D225" s="402"/>
      <c r="E225" s="560" t="s">
        <v>389</v>
      </c>
      <c r="F225" s="461">
        <v>0.18</v>
      </c>
      <c r="G225" s="93"/>
      <c r="H225" s="93"/>
      <c r="I225" s="93"/>
      <c r="J225" s="93"/>
      <c r="K225" s="93"/>
      <c r="L225" s="125" t="str">
        <f>M395</f>
        <v>Eastern_Africa</v>
      </c>
      <c r="M225" s="130"/>
      <c r="N225" s="562">
        <f t="shared" ref="N225:X225" si="59">N395</f>
        <v>0.44400000000000001</v>
      </c>
      <c r="O225" s="562">
        <f t="shared" si="59"/>
        <v>6.9000000000000006E-2</v>
      </c>
      <c r="P225" s="562">
        <f t="shared" si="59"/>
        <v>0.104</v>
      </c>
      <c r="Q225" s="562">
        <f t="shared" si="59"/>
        <v>5.0000000000000001E-3</v>
      </c>
      <c r="R225" s="562">
        <f t="shared" si="59"/>
        <v>0.03</v>
      </c>
      <c r="S225" s="562">
        <f t="shared" si="59"/>
        <v>0</v>
      </c>
      <c r="T225" s="562">
        <f t="shared" si="59"/>
        <v>4.0000000000000001E-3</v>
      </c>
      <c r="U225" s="562">
        <f t="shared" si="59"/>
        <v>0.08</v>
      </c>
      <c r="V225" s="562">
        <f t="shared" si="59"/>
        <v>2.5999999999999999E-2</v>
      </c>
      <c r="W225" s="562">
        <f t="shared" si="59"/>
        <v>2.1000000000000001E-2</v>
      </c>
      <c r="X225" s="562">
        <f t="shared" si="59"/>
        <v>0.217</v>
      </c>
      <c r="Y225" s="125" t="s">
        <v>653</v>
      </c>
      <c r="Z225" s="130">
        <v>3.6</v>
      </c>
      <c r="AA225" s="125"/>
    </row>
    <row r="226" spans="2:27">
      <c r="B226" s="684" t="s">
        <v>332</v>
      </c>
      <c r="C226" s="557">
        <v>625.15083075896132</v>
      </c>
      <c r="D226" s="402"/>
      <c r="E226" s="130" t="s">
        <v>332</v>
      </c>
      <c r="F226" s="461">
        <v>0.31</v>
      </c>
      <c r="G226" s="529">
        <v>0</v>
      </c>
      <c r="H226" s="529">
        <v>0.66</v>
      </c>
      <c r="I226" s="529">
        <v>0</v>
      </c>
      <c r="J226" s="529">
        <v>0.08</v>
      </c>
      <c r="K226" s="529">
        <v>0.26</v>
      </c>
      <c r="L226" s="125" t="str">
        <f>M402</f>
        <v>Northern_Europe</v>
      </c>
      <c r="M226" s="93" t="s">
        <v>332</v>
      </c>
      <c r="N226" s="561">
        <v>0.26</v>
      </c>
      <c r="O226" s="561">
        <v>0.12</v>
      </c>
      <c r="P226" s="561">
        <v>0.2</v>
      </c>
      <c r="Q226" s="561">
        <v>0.03</v>
      </c>
      <c r="R226" s="561">
        <v>0.02</v>
      </c>
      <c r="S226" s="561">
        <v>0</v>
      </c>
      <c r="T226" s="561">
        <v>0</v>
      </c>
      <c r="U226" s="561">
        <v>0.09</v>
      </c>
      <c r="V226" s="561">
        <v>0.04</v>
      </c>
      <c r="W226" s="561">
        <v>0.06</v>
      </c>
      <c r="X226" s="561">
        <v>0.18</v>
      </c>
      <c r="Y226" s="125"/>
      <c r="Z226" s="130">
        <v>1.3</v>
      </c>
      <c r="AA226" s="125"/>
    </row>
    <row r="227" spans="2:27">
      <c r="B227" s="684" t="s">
        <v>585</v>
      </c>
      <c r="C227" s="557">
        <v>0</v>
      </c>
      <c r="D227" s="402" t="s">
        <v>653</v>
      </c>
      <c r="E227" s="130"/>
      <c r="F227" s="564">
        <f>F407</f>
        <v>0.33</v>
      </c>
      <c r="G227" s="93"/>
      <c r="H227" s="93"/>
      <c r="I227" s="93"/>
      <c r="J227" s="93"/>
      <c r="K227" s="93"/>
      <c r="L227" s="380" t="str">
        <f>M407</f>
        <v>Southern_Africa</v>
      </c>
      <c r="M227" s="93"/>
      <c r="N227" s="562">
        <f>N407</f>
        <v>0.24</v>
      </c>
      <c r="O227" s="562">
        <f t="shared" ref="O227:X227" si="60">O407</f>
        <v>0</v>
      </c>
      <c r="P227" s="562">
        <f t="shared" si="60"/>
        <v>0.14499999999999999</v>
      </c>
      <c r="Q227" s="562">
        <f t="shared" si="60"/>
        <v>0</v>
      </c>
      <c r="R227" s="562">
        <f t="shared" si="60"/>
        <v>5.5E-2</v>
      </c>
      <c r="S227" s="562">
        <f t="shared" si="60"/>
        <v>0</v>
      </c>
      <c r="T227" s="562">
        <f t="shared" si="60"/>
        <v>0</v>
      </c>
      <c r="U227" s="562">
        <f t="shared" si="60"/>
        <v>0.26500000000000001</v>
      </c>
      <c r="V227" s="562">
        <f t="shared" si="60"/>
        <v>6.5000000000000002E-2</v>
      </c>
      <c r="W227" s="562">
        <f t="shared" si="60"/>
        <v>0.09</v>
      </c>
      <c r="X227" s="562">
        <f t="shared" si="60"/>
        <v>0.14000000000000001</v>
      </c>
      <c r="Y227" s="125" t="s">
        <v>653</v>
      </c>
      <c r="Z227" s="130">
        <v>1.1000000000000001</v>
      </c>
      <c r="AA227" s="125"/>
    </row>
    <row r="228" spans="2:27">
      <c r="B228" s="684" t="s">
        <v>390</v>
      </c>
      <c r="C228" s="557">
        <v>0.14137451606587195</v>
      </c>
      <c r="D228" s="402"/>
      <c r="E228" s="560" t="s">
        <v>390</v>
      </c>
      <c r="F228" s="461">
        <v>0.11</v>
      </c>
      <c r="G228" s="93"/>
      <c r="H228" s="93"/>
      <c r="I228" s="93"/>
      <c r="J228" s="93"/>
      <c r="K228" s="93"/>
      <c r="L228" s="125" t="str">
        <f>M395</f>
        <v>Eastern_Africa</v>
      </c>
      <c r="M228" s="93"/>
      <c r="N228" s="562">
        <f t="shared" ref="N228:X228" si="61">N395</f>
        <v>0.44400000000000001</v>
      </c>
      <c r="O228" s="562">
        <f t="shared" si="61"/>
        <v>6.9000000000000006E-2</v>
      </c>
      <c r="P228" s="562">
        <f t="shared" si="61"/>
        <v>0.104</v>
      </c>
      <c r="Q228" s="562">
        <f t="shared" si="61"/>
        <v>5.0000000000000001E-3</v>
      </c>
      <c r="R228" s="562">
        <f t="shared" si="61"/>
        <v>0.03</v>
      </c>
      <c r="S228" s="562">
        <f t="shared" si="61"/>
        <v>0</v>
      </c>
      <c r="T228" s="562">
        <f t="shared" si="61"/>
        <v>4.0000000000000001E-3</v>
      </c>
      <c r="U228" s="562">
        <f t="shared" si="61"/>
        <v>0.08</v>
      </c>
      <c r="V228" s="562">
        <f t="shared" si="61"/>
        <v>2.5999999999999999E-2</v>
      </c>
      <c r="W228" s="562">
        <f t="shared" si="61"/>
        <v>2.1000000000000001E-2</v>
      </c>
      <c r="X228" s="562">
        <f t="shared" si="61"/>
        <v>0.217</v>
      </c>
      <c r="Y228" s="125" t="s">
        <v>653</v>
      </c>
      <c r="Z228" s="130">
        <v>117.8</v>
      </c>
      <c r="AA228" s="125"/>
    </row>
    <row r="229" spans="2:27">
      <c r="B229" s="684" t="s">
        <v>586</v>
      </c>
      <c r="C229" s="557">
        <v>315.56387781247656</v>
      </c>
      <c r="D229" s="402" t="s">
        <v>653</v>
      </c>
      <c r="E229" s="130"/>
      <c r="F229" s="564">
        <f>F405</f>
        <v>0.43</v>
      </c>
      <c r="G229" s="93"/>
      <c r="H229" s="93"/>
      <c r="I229" s="93"/>
      <c r="J229" s="93"/>
      <c r="K229" s="93"/>
      <c r="L229" s="380" t="str">
        <f>M405</f>
        <v>South_America</v>
      </c>
      <c r="M229" s="93"/>
      <c r="N229" s="562">
        <f>N405</f>
        <v>0.54100000000000004</v>
      </c>
      <c r="O229" s="562">
        <f t="shared" ref="O229:X229" si="62">O405</f>
        <v>3.3000000000000002E-2</v>
      </c>
      <c r="P229" s="562">
        <f t="shared" si="62"/>
        <v>0.124</v>
      </c>
      <c r="Q229" s="562">
        <f t="shared" si="62"/>
        <v>0</v>
      </c>
      <c r="R229" s="562">
        <f t="shared" si="62"/>
        <v>1.7000000000000001E-2</v>
      </c>
      <c r="S229" s="562">
        <f t="shared" si="62"/>
        <v>1.9E-2</v>
      </c>
      <c r="T229" s="562">
        <f t="shared" si="62"/>
        <v>6.0000000000000001E-3</v>
      </c>
      <c r="U229" s="562">
        <f t="shared" si="62"/>
        <v>0.13700000000000001</v>
      </c>
      <c r="V229" s="562">
        <f t="shared" si="62"/>
        <v>0.02</v>
      </c>
      <c r="W229" s="562">
        <f t="shared" si="62"/>
        <v>0.03</v>
      </c>
      <c r="X229" s="562">
        <f t="shared" si="62"/>
        <v>7.1999999999999995E-2</v>
      </c>
      <c r="Y229" s="125" t="s">
        <v>653</v>
      </c>
      <c r="Z229" s="130"/>
      <c r="AA229" s="125"/>
    </row>
    <row r="230" spans="2:27">
      <c r="B230" s="684" t="s">
        <v>587</v>
      </c>
      <c r="C230" s="557">
        <v>320.4106740312501</v>
      </c>
      <c r="D230" s="402" t="s">
        <v>653</v>
      </c>
      <c r="E230" s="130"/>
      <c r="F230" s="564">
        <f>F412</f>
        <v>0.59</v>
      </c>
      <c r="G230" s="93"/>
      <c r="H230" s="93"/>
      <c r="I230" s="93"/>
      <c r="J230" s="93"/>
      <c r="K230" s="93"/>
      <c r="L230" s="380" t="str">
        <f>M412</f>
        <v>Western_Europe</v>
      </c>
      <c r="M230" s="93"/>
      <c r="N230" s="562">
        <f>N412</f>
        <v>0.33200000000000002</v>
      </c>
      <c r="O230" s="562">
        <f t="shared" ref="O230:X230" si="63">O412</f>
        <v>2.7E-2</v>
      </c>
      <c r="P230" s="562">
        <f t="shared" si="63"/>
        <v>0.17199999999999999</v>
      </c>
      <c r="Q230" s="562">
        <f t="shared" si="63"/>
        <v>2.3E-2</v>
      </c>
      <c r="R230" s="562">
        <f t="shared" si="63"/>
        <v>5.8999999999999997E-2</v>
      </c>
      <c r="S230" s="562">
        <f t="shared" si="63"/>
        <v>0.03</v>
      </c>
      <c r="T230" s="562">
        <f t="shared" si="63"/>
        <v>0</v>
      </c>
      <c r="U230" s="562">
        <f t="shared" si="63"/>
        <v>0.20499999999999999</v>
      </c>
      <c r="V230" s="562">
        <f t="shared" si="63"/>
        <v>1.4999999999999999E-2</v>
      </c>
      <c r="W230" s="562">
        <f t="shared" si="63"/>
        <v>1.4E-2</v>
      </c>
      <c r="X230" s="562">
        <f t="shared" si="63"/>
        <v>0.123</v>
      </c>
      <c r="Y230" s="125" t="s">
        <v>653</v>
      </c>
      <c r="Z230" s="130"/>
      <c r="AA230" s="125"/>
    </row>
    <row r="231" spans="2:27">
      <c r="B231" s="684" t="s">
        <v>464</v>
      </c>
      <c r="C231" s="557">
        <v>334.44750654637954</v>
      </c>
      <c r="D231" s="402"/>
      <c r="E231" s="560" t="s">
        <v>464</v>
      </c>
      <c r="F231" s="461">
        <v>0.77</v>
      </c>
      <c r="G231" s="93"/>
      <c r="H231" s="93"/>
      <c r="I231" s="93"/>
      <c r="J231" s="93"/>
      <c r="K231" s="93"/>
      <c r="L231" s="125" t="str">
        <f>M403</f>
        <v>Oceania</v>
      </c>
      <c r="M231" s="93"/>
      <c r="N231" s="562">
        <f t="shared" ref="N231:X231" si="64">N403</f>
        <v>0.25900000000000001</v>
      </c>
      <c r="O231" s="562">
        <f t="shared" si="64"/>
        <v>0.122</v>
      </c>
      <c r="P231" s="562">
        <f t="shared" si="64"/>
        <v>0.12</v>
      </c>
      <c r="Q231" s="562">
        <f t="shared" si="64"/>
        <v>6.5000000000000002E-2</v>
      </c>
      <c r="R231" s="562">
        <f t="shared" si="64"/>
        <v>2.9499999999999998E-2</v>
      </c>
      <c r="S231" s="562">
        <f t="shared" si="64"/>
        <v>3.5000000000000003E-2</v>
      </c>
      <c r="T231" s="562">
        <f t="shared" si="64"/>
        <v>0</v>
      </c>
      <c r="U231" s="562">
        <f t="shared" si="64"/>
        <v>8.3000000000000004E-2</v>
      </c>
      <c r="V231" s="562">
        <f t="shared" si="64"/>
        <v>1.7999999999999999E-2</v>
      </c>
      <c r="W231" s="562">
        <f t="shared" si="64"/>
        <v>2.8000000000000001E-2</v>
      </c>
      <c r="X231" s="562">
        <f t="shared" si="64"/>
        <v>0.24099999999999999</v>
      </c>
      <c r="Y231" s="125" t="s">
        <v>653</v>
      </c>
      <c r="Z231" s="130">
        <v>0.9</v>
      </c>
      <c r="AA231" s="125"/>
    </row>
    <row r="232" spans="2:27">
      <c r="B232" s="684" t="s">
        <v>333</v>
      </c>
      <c r="C232" s="557">
        <v>114.07744325305934</v>
      </c>
      <c r="D232" s="402"/>
      <c r="E232" s="130" t="s">
        <v>333</v>
      </c>
      <c r="F232" s="461">
        <v>0.47</v>
      </c>
      <c r="G232" s="529">
        <v>0</v>
      </c>
      <c r="H232" s="529">
        <v>0.45</v>
      </c>
      <c r="I232" s="529">
        <v>0.22</v>
      </c>
      <c r="J232" s="529">
        <v>0.13</v>
      </c>
      <c r="K232" s="529">
        <v>0.2</v>
      </c>
      <c r="L232" s="125" t="str">
        <f>M402</f>
        <v>Northern_Europe</v>
      </c>
      <c r="M232" s="93" t="s">
        <v>333</v>
      </c>
      <c r="N232" s="561">
        <v>0.35099999999999998</v>
      </c>
      <c r="O232" s="561">
        <v>8.7999999999999995E-2</v>
      </c>
      <c r="P232" s="561">
        <v>0.20799999999999999</v>
      </c>
      <c r="Q232" s="561">
        <v>2.1999999999999999E-2</v>
      </c>
      <c r="R232" s="561">
        <v>1.7000000000000001E-2</v>
      </c>
      <c r="S232" s="561">
        <v>0</v>
      </c>
      <c r="T232" s="561">
        <v>0</v>
      </c>
      <c r="U232" s="561">
        <v>7.9000000000000001E-2</v>
      </c>
      <c r="V232" s="561">
        <v>0</v>
      </c>
      <c r="W232" s="561">
        <v>5.0000000000000001E-3</v>
      </c>
      <c r="X232" s="561">
        <v>0.23</v>
      </c>
      <c r="Y232" s="125"/>
      <c r="Z232" s="130">
        <v>5.5</v>
      </c>
      <c r="AA232" s="125"/>
    </row>
    <row r="233" spans="2:27">
      <c r="B233" s="684" t="s">
        <v>347</v>
      </c>
      <c r="C233" s="557">
        <v>67.622730217810499</v>
      </c>
      <c r="D233" s="402"/>
      <c r="E233" s="130" t="s">
        <v>347</v>
      </c>
      <c r="F233" s="461">
        <v>0.53</v>
      </c>
      <c r="G233" s="529">
        <v>0</v>
      </c>
      <c r="H233" s="529">
        <v>0.31</v>
      </c>
      <c r="I233" s="529">
        <v>0.34</v>
      </c>
      <c r="J233" s="529">
        <v>0.17</v>
      </c>
      <c r="K233" s="529">
        <v>0.18</v>
      </c>
      <c r="L233" s="125" t="str">
        <f>M412</f>
        <v>Western_Europe</v>
      </c>
      <c r="M233" s="130" t="s">
        <v>347</v>
      </c>
      <c r="N233" s="561">
        <v>0.188</v>
      </c>
      <c r="O233" s="561">
        <v>0.04</v>
      </c>
      <c r="P233" s="561">
        <v>0.14799999999999999</v>
      </c>
      <c r="Q233" s="561">
        <v>0.04</v>
      </c>
      <c r="R233" s="561">
        <v>0.03</v>
      </c>
      <c r="S233" s="561">
        <v>6.9000000000000006E-2</v>
      </c>
      <c r="T233" s="561">
        <v>0</v>
      </c>
      <c r="U233" s="561">
        <v>0.218</v>
      </c>
      <c r="V233" s="561">
        <v>0</v>
      </c>
      <c r="W233" s="561">
        <v>0</v>
      </c>
      <c r="X233" s="561">
        <v>0.26700000000000002</v>
      </c>
      <c r="Y233" s="125"/>
      <c r="Z233" s="130">
        <v>65.3</v>
      </c>
      <c r="AA233" s="125"/>
    </row>
    <row r="234" spans="2:27">
      <c r="B234" s="684" t="s">
        <v>456</v>
      </c>
      <c r="C234" s="557">
        <v>199.63952023268763</v>
      </c>
      <c r="D234" s="402"/>
      <c r="E234" s="130" t="s">
        <v>456</v>
      </c>
      <c r="F234" s="461">
        <v>0.37</v>
      </c>
      <c r="G234" s="93"/>
      <c r="H234" s="93"/>
      <c r="I234" s="93"/>
      <c r="J234" s="93"/>
      <c r="K234" s="93"/>
      <c r="L234" s="125" t="str">
        <f>M405</f>
        <v>South_America</v>
      </c>
      <c r="M234" s="130"/>
      <c r="N234" s="562">
        <f t="shared" ref="N234:X234" si="65">N405</f>
        <v>0.54100000000000004</v>
      </c>
      <c r="O234" s="562">
        <f t="shared" si="65"/>
        <v>3.3000000000000002E-2</v>
      </c>
      <c r="P234" s="562">
        <f t="shared" si="65"/>
        <v>0.124</v>
      </c>
      <c r="Q234" s="562">
        <f t="shared" si="65"/>
        <v>0</v>
      </c>
      <c r="R234" s="562">
        <f t="shared" si="65"/>
        <v>1.7000000000000001E-2</v>
      </c>
      <c r="S234" s="562">
        <f t="shared" si="65"/>
        <v>1.9E-2</v>
      </c>
      <c r="T234" s="562">
        <f t="shared" si="65"/>
        <v>6.0000000000000001E-3</v>
      </c>
      <c r="U234" s="562">
        <f t="shared" si="65"/>
        <v>0.13700000000000001</v>
      </c>
      <c r="V234" s="562">
        <f t="shared" si="65"/>
        <v>0.02</v>
      </c>
      <c r="W234" s="562">
        <f t="shared" si="65"/>
        <v>0.03</v>
      </c>
      <c r="X234" s="562">
        <f t="shared" si="65"/>
        <v>7.1999999999999995E-2</v>
      </c>
      <c r="Y234" s="125" t="s">
        <v>653</v>
      </c>
      <c r="Z234" s="130">
        <v>0.3</v>
      </c>
      <c r="AA234" s="125"/>
    </row>
    <row r="235" spans="2:27">
      <c r="B235" s="684" t="s">
        <v>588</v>
      </c>
      <c r="C235" s="557">
        <v>412.46692155998733</v>
      </c>
      <c r="D235" s="402" t="s">
        <v>653</v>
      </c>
      <c r="E235" s="130"/>
      <c r="F235" s="564">
        <f>F404</f>
        <v>1.35</v>
      </c>
      <c r="G235" s="93"/>
      <c r="H235" s="93"/>
      <c r="I235" s="93"/>
      <c r="J235" s="93"/>
      <c r="K235" s="93"/>
      <c r="L235" s="380" t="str">
        <f>M403</f>
        <v>Oceania</v>
      </c>
      <c r="M235" s="130"/>
      <c r="N235" s="562">
        <f>N403</f>
        <v>0.25900000000000001</v>
      </c>
      <c r="O235" s="562">
        <f t="shared" ref="O235:X235" si="66">O403</f>
        <v>0.122</v>
      </c>
      <c r="P235" s="562">
        <f t="shared" si="66"/>
        <v>0.12</v>
      </c>
      <c r="Q235" s="562">
        <f t="shared" si="66"/>
        <v>6.5000000000000002E-2</v>
      </c>
      <c r="R235" s="562">
        <f t="shared" si="66"/>
        <v>2.9499999999999998E-2</v>
      </c>
      <c r="S235" s="562">
        <f t="shared" si="66"/>
        <v>3.5000000000000003E-2</v>
      </c>
      <c r="T235" s="562">
        <f t="shared" si="66"/>
        <v>0</v>
      </c>
      <c r="U235" s="562">
        <f t="shared" si="66"/>
        <v>8.3000000000000004E-2</v>
      </c>
      <c r="V235" s="562">
        <f t="shared" si="66"/>
        <v>1.7999999999999999E-2</v>
      </c>
      <c r="W235" s="562">
        <f t="shared" si="66"/>
        <v>2.8000000000000001E-2</v>
      </c>
      <c r="X235" s="562">
        <f t="shared" si="66"/>
        <v>0.24099999999999999</v>
      </c>
      <c r="Y235" s="125" t="s">
        <v>653</v>
      </c>
      <c r="Z235" s="130">
        <v>0.3</v>
      </c>
      <c r="AA235" s="125"/>
    </row>
    <row r="236" spans="2:27">
      <c r="B236" s="684" t="s">
        <v>403</v>
      </c>
      <c r="C236" s="557">
        <v>532.93431460808711</v>
      </c>
      <c r="D236" s="402"/>
      <c r="E236" s="560" t="s">
        <v>403</v>
      </c>
      <c r="F236" s="461">
        <v>0.16</v>
      </c>
      <c r="G236" s="93"/>
      <c r="H236" s="93"/>
      <c r="I236" s="93"/>
      <c r="J236" s="93"/>
      <c r="K236" s="93"/>
      <c r="L236" s="125" t="str">
        <f>M399</f>
        <v>Middle_Africa</v>
      </c>
      <c r="M236" s="130"/>
      <c r="N236" s="562">
        <f t="shared" ref="N236:X236" si="67">N399</f>
        <v>0.28399999999999997</v>
      </c>
      <c r="O236" s="562">
        <f t="shared" si="67"/>
        <v>0</v>
      </c>
      <c r="P236" s="562">
        <f t="shared" si="67"/>
        <v>0.08</v>
      </c>
      <c r="Q236" s="562">
        <f t="shared" si="67"/>
        <v>0</v>
      </c>
      <c r="R236" s="562">
        <f t="shared" si="67"/>
        <v>1.2999999999999999E-2</v>
      </c>
      <c r="S236" s="562">
        <f t="shared" si="67"/>
        <v>0</v>
      </c>
      <c r="T236" s="562">
        <f t="shared" si="67"/>
        <v>0</v>
      </c>
      <c r="U236" s="562">
        <f t="shared" si="67"/>
        <v>7.0999999999999994E-2</v>
      </c>
      <c r="V236" s="562">
        <f t="shared" si="67"/>
        <v>1.4E-2</v>
      </c>
      <c r="W236" s="562">
        <f t="shared" si="67"/>
        <v>1.0999999999999999E-2</v>
      </c>
      <c r="X236" s="562">
        <f t="shared" si="67"/>
        <v>0.52700000000000002</v>
      </c>
      <c r="Y236" s="125" t="s">
        <v>653</v>
      </c>
      <c r="Z236" s="130">
        <v>22.3</v>
      </c>
      <c r="AA236" s="125"/>
    </row>
    <row r="237" spans="2:27">
      <c r="B237" s="684" t="s">
        <v>413</v>
      </c>
      <c r="C237" s="557">
        <v>590.9736287084296</v>
      </c>
      <c r="D237" s="402"/>
      <c r="E237" s="560" t="s">
        <v>413</v>
      </c>
      <c r="F237" s="461">
        <v>0.19</v>
      </c>
      <c r="G237" s="93"/>
      <c r="H237" s="93"/>
      <c r="I237" s="93"/>
      <c r="J237" s="93"/>
      <c r="K237" s="93"/>
      <c r="L237" s="125" t="str">
        <f>M410</f>
        <v>Western_Africa</v>
      </c>
      <c r="M237" s="130"/>
      <c r="N237" s="562">
        <f t="shared" ref="N237:X237" si="68">N410</f>
        <v>0.53900000000000003</v>
      </c>
      <c r="O237" s="562">
        <f t="shared" si="68"/>
        <v>0</v>
      </c>
      <c r="P237" s="562">
        <f t="shared" si="68"/>
        <v>7.4999999999999997E-2</v>
      </c>
      <c r="Q237" s="562">
        <f t="shared" si="68"/>
        <v>0</v>
      </c>
      <c r="R237" s="562">
        <f t="shared" si="68"/>
        <v>1.9E-2</v>
      </c>
      <c r="S237" s="562">
        <f t="shared" si="68"/>
        <v>0</v>
      </c>
      <c r="T237" s="562">
        <f t="shared" si="68"/>
        <v>0</v>
      </c>
      <c r="U237" s="562">
        <f t="shared" si="68"/>
        <v>6.4000000000000001E-2</v>
      </c>
      <c r="V237" s="562">
        <f t="shared" si="68"/>
        <v>2.7E-2</v>
      </c>
      <c r="W237" s="562">
        <f t="shared" si="68"/>
        <v>1.2999999999999999E-2</v>
      </c>
      <c r="X237" s="562">
        <f t="shared" si="68"/>
        <v>0.26500000000000001</v>
      </c>
      <c r="Y237" s="125" t="s">
        <v>653</v>
      </c>
      <c r="Z237" s="130">
        <v>2.5</v>
      </c>
      <c r="AA237" s="125"/>
    </row>
    <row r="238" spans="2:27">
      <c r="B238" s="684" t="s">
        <v>376</v>
      </c>
      <c r="C238" s="557">
        <v>135.46579806767312</v>
      </c>
      <c r="D238" s="402"/>
      <c r="E238" s="560" t="s">
        <v>376</v>
      </c>
      <c r="F238" s="461">
        <v>0.62</v>
      </c>
      <c r="G238" s="93"/>
      <c r="H238" s="93"/>
      <c r="I238" s="93"/>
      <c r="J238" s="93"/>
      <c r="K238" s="93"/>
      <c r="L238" s="125" t="str">
        <f>M411</f>
        <v>Western_Asia</v>
      </c>
      <c r="M238" s="130"/>
      <c r="N238" s="562">
        <f t="shared" ref="N238:X238" si="69">N411</f>
        <v>0.42199999999999999</v>
      </c>
      <c r="O238" s="562">
        <f t="shared" si="69"/>
        <v>3.2000000000000001E-2</v>
      </c>
      <c r="P238" s="562">
        <f t="shared" si="69"/>
        <v>0.153</v>
      </c>
      <c r="Q238" s="562">
        <f t="shared" si="69"/>
        <v>8.0000000000000002E-3</v>
      </c>
      <c r="R238" s="562">
        <f t="shared" si="69"/>
        <v>0.03</v>
      </c>
      <c r="S238" s="562">
        <f t="shared" si="69"/>
        <v>4.0000000000000001E-3</v>
      </c>
      <c r="T238" s="562">
        <f t="shared" si="69"/>
        <v>3.0000000000000001E-3</v>
      </c>
      <c r="U238" s="562">
        <f t="shared" si="69"/>
        <v>0.17199999999999999</v>
      </c>
      <c r="V238" s="562">
        <f t="shared" si="69"/>
        <v>2.5000000000000001E-2</v>
      </c>
      <c r="W238" s="562">
        <f t="shared" si="69"/>
        <v>3.4000000000000002E-2</v>
      </c>
      <c r="X238" s="562">
        <f t="shared" si="69"/>
        <v>0.11799999999999999</v>
      </c>
      <c r="Y238" s="125" t="s">
        <v>653</v>
      </c>
      <c r="Z238" s="130">
        <v>3.7</v>
      </c>
      <c r="AA238" s="125"/>
    </row>
    <row r="239" spans="2:27">
      <c r="B239" s="684" t="s">
        <v>348</v>
      </c>
      <c r="C239" s="557">
        <v>312.88448375889328</v>
      </c>
      <c r="D239" s="402"/>
      <c r="E239" s="130" t="s">
        <v>348</v>
      </c>
      <c r="F239" s="461">
        <v>0.6</v>
      </c>
      <c r="G239" s="529">
        <v>0</v>
      </c>
      <c r="H239" s="529">
        <v>0</v>
      </c>
      <c r="I239" s="529">
        <v>0.37</v>
      </c>
      <c r="J239" s="529">
        <v>0.17</v>
      </c>
      <c r="K239" s="529">
        <v>0.46</v>
      </c>
      <c r="L239" s="125" t="str">
        <f>M412</f>
        <v>Western_Europe</v>
      </c>
      <c r="M239" s="130" t="s">
        <v>348</v>
      </c>
      <c r="N239" s="561">
        <v>0.63200000000000001</v>
      </c>
      <c r="O239" s="561">
        <v>0</v>
      </c>
      <c r="P239" s="561">
        <v>0.155</v>
      </c>
      <c r="Q239" s="561">
        <v>0</v>
      </c>
      <c r="R239" s="561">
        <v>0.05</v>
      </c>
      <c r="S239" s="561">
        <v>0</v>
      </c>
      <c r="T239" s="561">
        <v>0</v>
      </c>
      <c r="U239" s="561">
        <v>0.104</v>
      </c>
      <c r="V239" s="561">
        <v>2.8000000000000001E-2</v>
      </c>
      <c r="W239" s="561">
        <v>3.1E-2</v>
      </c>
      <c r="X239" s="561">
        <v>0</v>
      </c>
      <c r="Y239" s="125"/>
      <c r="Z239" s="130">
        <v>83.1</v>
      </c>
      <c r="AA239" s="125"/>
    </row>
    <row r="240" spans="2:27">
      <c r="B240" s="684" t="s">
        <v>320</v>
      </c>
      <c r="C240" s="557">
        <v>275.98720016838456</v>
      </c>
      <c r="D240" s="402"/>
      <c r="E240" s="130" t="s">
        <v>320</v>
      </c>
      <c r="F240" s="461">
        <v>0.03</v>
      </c>
      <c r="G240" s="93"/>
      <c r="H240" s="93"/>
      <c r="I240" s="93"/>
      <c r="J240" s="93"/>
      <c r="K240" s="93"/>
      <c r="L240" s="125" t="str">
        <f>M410</f>
        <v>Western_Africa</v>
      </c>
      <c r="M240" s="130" t="s">
        <v>320</v>
      </c>
      <c r="N240" s="561">
        <v>0.73</v>
      </c>
      <c r="O240" s="561">
        <v>0</v>
      </c>
      <c r="P240" s="561">
        <v>0.08</v>
      </c>
      <c r="Q240" s="561">
        <v>0</v>
      </c>
      <c r="R240" s="561">
        <v>0.04</v>
      </c>
      <c r="S240" s="561">
        <v>0</v>
      </c>
      <c r="T240" s="561">
        <v>0</v>
      </c>
      <c r="U240" s="561">
        <v>0.08</v>
      </c>
      <c r="V240" s="561">
        <v>0</v>
      </c>
      <c r="W240" s="561">
        <v>0</v>
      </c>
      <c r="X240" s="561">
        <v>7.0000000000000007E-2</v>
      </c>
      <c r="Y240" s="125"/>
      <c r="Z240" s="130">
        <v>32.4</v>
      </c>
      <c r="AA240" s="125"/>
    </row>
    <row r="241" spans="2:28">
      <c r="B241" s="684" t="s">
        <v>589</v>
      </c>
      <c r="C241" s="557">
        <v>368.78488096005384</v>
      </c>
      <c r="D241" s="402" t="s">
        <v>653</v>
      </c>
      <c r="E241" s="130"/>
      <c r="F241" s="564">
        <f>F409</f>
        <v>0.47</v>
      </c>
      <c r="G241" s="93"/>
      <c r="H241" s="93"/>
      <c r="I241" s="93"/>
      <c r="J241" s="93"/>
      <c r="K241" s="93"/>
      <c r="L241" s="380" t="str">
        <f>M409</f>
        <v>Southern_Europe</v>
      </c>
      <c r="M241" s="130"/>
      <c r="N241" s="562">
        <f>N409</f>
        <v>0.35799999999999998</v>
      </c>
      <c r="O241" s="562">
        <f t="shared" ref="O241:X241" si="70">O409</f>
        <v>1.4E-2</v>
      </c>
      <c r="P241" s="562">
        <f t="shared" si="70"/>
        <v>0.214</v>
      </c>
      <c r="Q241" s="562">
        <f t="shared" si="70"/>
        <v>1.2E-2</v>
      </c>
      <c r="R241" s="562">
        <f t="shared" si="70"/>
        <v>2.8000000000000001E-2</v>
      </c>
      <c r="S241" s="562">
        <f t="shared" si="70"/>
        <v>1.0999999999999999E-2</v>
      </c>
      <c r="T241" s="562">
        <f t="shared" si="70"/>
        <v>2E-3</v>
      </c>
      <c r="U241" s="562">
        <f t="shared" si="70"/>
        <v>0.14099999999999999</v>
      </c>
      <c r="V241" s="562">
        <f t="shared" si="70"/>
        <v>0.02</v>
      </c>
      <c r="W241" s="562">
        <f t="shared" si="70"/>
        <v>3.5000000000000003E-2</v>
      </c>
      <c r="X241" s="562">
        <f t="shared" si="70"/>
        <v>0.16700000000000001</v>
      </c>
      <c r="Y241" s="125" t="s">
        <v>653</v>
      </c>
      <c r="Z241" s="130"/>
      <c r="AA241" s="125"/>
    </row>
    <row r="242" spans="2:28">
      <c r="B242" s="684" t="s">
        <v>339</v>
      </c>
      <c r="C242" s="557">
        <v>345.84365638438351</v>
      </c>
      <c r="D242" s="402"/>
      <c r="E242" s="130" t="s">
        <v>339</v>
      </c>
      <c r="F242" s="461">
        <v>0.53</v>
      </c>
      <c r="G242" s="529">
        <v>0</v>
      </c>
      <c r="H242" s="529">
        <v>0.83</v>
      </c>
      <c r="I242" s="529">
        <v>0</v>
      </c>
      <c r="J242" s="529">
        <v>0.02</v>
      </c>
      <c r="K242" s="529">
        <v>0.15</v>
      </c>
      <c r="L242" s="125" t="str">
        <f>M409</f>
        <v>Southern_Europe</v>
      </c>
      <c r="M242" s="130" t="s">
        <v>339</v>
      </c>
      <c r="N242" s="561">
        <v>0.43099999999999999</v>
      </c>
      <c r="O242" s="561">
        <v>0</v>
      </c>
      <c r="P242" s="561">
        <v>0.22600000000000001</v>
      </c>
      <c r="Q242" s="561">
        <v>0.01</v>
      </c>
      <c r="R242" s="561">
        <v>3.3000000000000002E-2</v>
      </c>
      <c r="S242" s="561">
        <v>0</v>
      </c>
      <c r="T242" s="561">
        <v>0</v>
      </c>
      <c r="U242" s="561">
        <v>0.111</v>
      </c>
      <c r="V242" s="561">
        <v>3.2000000000000001E-2</v>
      </c>
      <c r="W242" s="561">
        <v>4.2000000000000003E-2</v>
      </c>
      <c r="X242" s="561">
        <v>0.115</v>
      </c>
      <c r="Y242" s="125"/>
      <c r="Z242" s="130">
        <v>10.7</v>
      </c>
      <c r="AA242" s="125"/>
    </row>
    <row r="243" spans="2:28">
      <c r="B243" s="684" t="s">
        <v>590</v>
      </c>
      <c r="C243" s="557">
        <v>104.81543874366528</v>
      </c>
      <c r="D243" s="402" t="s">
        <v>653</v>
      </c>
      <c r="E243" s="130"/>
      <c r="F243" s="564">
        <f>F401</f>
        <v>0.96</v>
      </c>
      <c r="G243" s="93"/>
      <c r="H243" s="93"/>
      <c r="I243" s="93"/>
      <c r="J243" s="93"/>
      <c r="K243" s="93"/>
      <c r="L243" s="380" t="str">
        <f>M401</f>
        <v>Northern_America</v>
      </c>
      <c r="M243" s="158"/>
      <c r="N243" s="562">
        <f>N401</f>
        <v>0.20200000000000001</v>
      </c>
      <c r="O243" s="562">
        <f t="shared" ref="O243:X243" si="71">O401</f>
        <v>6.8000000000000005E-2</v>
      </c>
      <c r="P243" s="562">
        <f t="shared" si="71"/>
        <v>0.23300000000000001</v>
      </c>
      <c r="Q243" s="562">
        <f t="shared" si="71"/>
        <v>4.1000000000000002E-2</v>
      </c>
      <c r="R243" s="562">
        <f t="shared" si="71"/>
        <v>3.9E-2</v>
      </c>
      <c r="S243" s="562">
        <f t="shared" si="71"/>
        <v>0</v>
      </c>
      <c r="T243" s="562">
        <f t="shared" si="71"/>
        <v>1.6E-2</v>
      </c>
      <c r="U243" s="562">
        <f t="shared" si="71"/>
        <v>0.158</v>
      </c>
      <c r="V243" s="562">
        <f t="shared" si="71"/>
        <v>6.4000000000000001E-2</v>
      </c>
      <c r="W243" s="562">
        <f t="shared" si="71"/>
        <v>4.2000000000000003E-2</v>
      </c>
      <c r="X243" s="562">
        <f t="shared" si="71"/>
        <v>0.14000000000000001</v>
      </c>
      <c r="Y243" s="125" t="s">
        <v>653</v>
      </c>
      <c r="Z243" s="130"/>
      <c r="AA243" s="125"/>
    </row>
    <row r="244" spans="2:28">
      <c r="B244" s="684" t="s">
        <v>438</v>
      </c>
      <c r="C244" s="557">
        <v>522.69728550429636</v>
      </c>
      <c r="D244" s="402"/>
      <c r="E244" s="560" t="s">
        <v>438</v>
      </c>
      <c r="F244" s="461">
        <v>0.99</v>
      </c>
      <c r="G244" s="529">
        <v>0</v>
      </c>
      <c r="H244" s="529">
        <v>0.9</v>
      </c>
      <c r="I244" s="529">
        <v>0</v>
      </c>
      <c r="J244" s="529">
        <v>0</v>
      </c>
      <c r="K244" s="529">
        <v>0.1</v>
      </c>
      <c r="L244" s="125" t="str">
        <f>M393</f>
        <v>Central_America</v>
      </c>
      <c r="M244" s="130"/>
      <c r="N244" s="562">
        <f t="shared" ref="N244:X244" si="72">N393</f>
        <v>0.627</v>
      </c>
      <c r="O244" s="562">
        <f t="shared" si="72"/>
        <v>0</v>
      </c>
      <c r="P244" s="562">
        <f t="shared" si="72"/>
        <v>0.126</v>
      </c>
      <c r="Q244" s="562">
        <f t="shared" si="72"/>
        <v>3.0000000000000001E-3</v>
      </c>
      <c r="R244" s="562">
        <f t="shared" si="72"/>
        <v>2.1999999999999999E-2</v>
      </c>
      <c r="S244" s="562">
        <f t="shared" si="72"/>
        <v>0</v>
      </c>
      <c r="T244" s="562">
        <f t="shared" si="72"/>
        <v>0</v>
      </c>
      <c r="U244" s="562">
        <f t="shared" si="72"/>
        <v>0.10299999999999999</v>
      </c>
      <c r="V244" s="562">
        <f t="shared" si="72"/>
        <v>2.7E-2</v>
      </c>
      <c r="W244" s="562">
        <f t="shared" si="72"/>
        <v>3.3000000000000002E-2</v>
      </c>
      <c r="X244" s="562">
        <f t="shared" si="72"/>
        <v>0.06</v>
      </c>
      <c r="Y244" s="125" t="s">
        <v>653</v>
      </c>
      <c r="Z244" s="130">
        <v>0.1</v>
      </c>
      <c r="AA244" s="125"/>
    </row>
    <row r="245" spans="2:28">
      <c r="B245" s="684" t="s">
        <v>591</v>
      </c>
      <c r="C245" s="557">
        <v>432.83816382376415</v>
      </c>
      <c r="D245" s="402"/>
      <c r="E245" s="560" t="s">
        <v>439</v>
      </c>
      <c r="F245" s="461">
        <v>0.6</v>
      </c>
      <c r="G245" s="93"/>
      <c r="H245" s="93"/>
      <c r="I245" s="93"/>
      <c r="J245" s="93"/>
      <c r="K245" s="93"/>
      <c r="L245" s="125" t="str">
        <f>M393</f>
        <v>Central_America</v>
      </c>
      <c r="M245" s="130"/>
      <c r="N245" s="562">
        <f t="shared" ref="N245:X245" si="73">N393</f>
        <v>0.627</v>
      </c>
      <c r="O245" s="562">
        <f t="shared" si="73"/>
        <v>0</v>
      </c>
      <c r="P245" s="562">
        <f t="shared" si="73"/>
        <v>0.126</v>
      </c>
      <c r="Q245" s="562">
        <f t="shared" si="73"/>
        <v>3.0000000000000001E-3</v>
      </c>
      <c r="R245" s="562">
        <f t="shared" si="73"/>
        <v>2.1999999999999999E-2</v>
      </c>
      <c r="S245" s="562">
        <f t="shared" si="73"/>
        <v>0</v>
      </c>
      <c r="T245" s="562">
        <f t="shared" si="73"/>
        <v>0</v>
      </c>
      <c r="U245" s="562">
        <f t="shared" si="73"/>
        <v>0.10299999999999999</v>
      </c>
      <c r="V245" s="562">
        <f t="shared" si="73"/>
        <v>2.7E-2</v>
      </c>
      <c r="W245" s="562">
        <f t="shared" si="73"/>
        <v>3.3000000000000002E-2</v>
      </c>
      <c r="X245" s="562">
        <f t="shared" si="73"/>
        <v>0.06</v>
      </c>
      <c r="Y245" s="125" t="s">
        <v>653</v>
      </c>
      <c r="Z245" s="130">
        <v>0.4</v>
      </c>
      <c r="AA245" s="125"/>
    </row>
    <row r="246" spans="2:28">
      <c r="B246" s="684" t="s">
        <v>592</v>
      </c>
      <c r="C246" s="557">
        <v>427.81751637600723</v>
      </c>
      <c r="D246" s="402" t="s">
        <v>653</v>
      </c>
      <c r="E246" s="130"/>
      <c r="F246" s="564">
        <f>F403</f>
        <v>0.6</v>
      </c>
      <c r="G246" s="93"/>
      <c r="H246" s="93"/>
      <c r="I246" s="93"/>
      <c r="J246" s="93"/>
      <c r="K246" s="93"/>
      <c r="L246" s="380" t="str">
        <f>M403</f>
        <v>Oceania</v>
      </c>
      <c r="M246" s="130"/>
      <c r="N246" s="562">
        <f>N403</f>
        <v>0.25900000000000001</v>
      </c>
      <c r="O246" s="562">
        <f t="shared" ref="O246:X246" si="74">O403</f>
        <v>0.122</v>
      </c>
      <c r="P246" s="562">
        <f t="shared" si="74"/>
        <v>0.12</v>
      </c>
      <c r="Q246" s="562">
        <f t="shared" si="74"/>
        <v>6.5000000000000002E-2</v>
      </c>
      <c r="R246" s="562">
        <f t="shared" si="74"/>
        <v>2.9499999999999998E-2</v>
      </c>
      <c r="S246" s="562">
        <f t="shared" si="74"/>
        <v>3.5000000000000003E-2</v>
      </c>
      <c r="T246" s="562">
        <f t="shared" si="74"/>
        <v>0</v>
      </c>
      <c r="U246" s="562">
        <f t="shared" si="74"/>
        <v>8.3000000000000004E-2</v>
      </c>
      <c r="V246" s="562">
        <f t="shared" si="74"/>
        <v>1.7999999999999999E-2</v>
      </c>
      <c r="W246" s="562">
        <f t="shared" si="74"/>
        <v>2.8000000000000001E-2</v>
      </c>
      <c r="X246" s="562">
        <f t="shared" si="74"/>
        <v>0.24099999999999999</v>
      </c>
      <c r="Y246" s="125" t="s">
        <v>653</v>
      </c>
      <c r="Z246" s="130">
        <v>0.2</v>
      </c>
      <c r="AA246" s="125"/>
    </row>
    <row r="247" spans="2:28">
      <c r="B247" s="684" t="s">
        <v>449</v>
      </c>
      <c r="C247" s="557">
        <v>427.10028162566135</v>
      </c>
      <c r="D247" s="402"/>
      <c r="E247" s="560" t="s">
        <v>449</v>
      </c>
      <c r="F247" s="461">
        <v>0.73</v>
      </c>
      <c r="G247" s="529">
        <v>0</v>
      </c>
      <c r="H247" s="529">
        <v>0.22</v>
      </c>
      <c r="I247" s="529">
        <v>0</v>
      </c>
      <c r="J247" s="529">
        <v>0</v>
      </c>
      <c r="K247" s="529">
        <v>0.78</v>
      </c>
      <c r="L247" s="125" t="str">
        <f>M393</f>
        <v>Central_America</v>
      </c>
      <c r="M247" s="130"/>
      <c r="N247" s="562">
        <f t="shared" ref="N247:X247" si="75">N393</f>
        <v>0.627</v>
      </c>
      <c r="O247" s="562">
        <f t="shared" si="75"/>
        <v>0</v>
      </c>
      <c r="P247" s="562">
        <f t="shared" si="75"/>
        <v>0.126</v>
      </c>
      <c r="Q247" s="562">
        <f t="shared" si="75"/>
        <v>3.0000000000000001E-3</v>
      </c>
      <c r="R247" s="562">
        <f t="shared" si="75"/>
        <v>2.1999999999999999E-2</v>
      </c>
      <c r="S247" s="562">
        <f t="shared" si="75"/>
        <v>0</v>
      </c>
      <c r="T247" s="562">
        <f t="shared" si="75"/>
        <v>0</v>
      </c>
      <c r="U247" s="562">
        <f t="shared" si="75"/>
        <v>0.10299999999999999</v>
      </c>
      <c r="V247" s="562">
        <f t="shared" si="75"/>
        <v>2.7E-2</v>
      </c>
      <c r="W247" s="562">
        <f t="shared" si="75"/>
        <v>3.3000000000000002E-2</v>
      </c>
      <c r="X247" s="562">
        <f t="shared" si="75"/>
        <v>0.06</v>
      </c>
      <c r="Y247" s="125" t="s">
        <v>653</v>
      </c>
      <c r="Z247" s="130">
        <v>18.399999999999999</v>
      </c>
      <c r="AA247" s="125"/>
    </row>
    <row r="248" spans="2:28">
      <c r="B248" s="684" t="s">
        <v>593</v>
      </c>
      <c r="C248" s="557">
        <v>459.55350776006651</v>
      </c>
      <c r="D248" s="402" t="s">
        <v>653</v>
      </c>
      <c r="E248" s="130"/>
      <c r="F248" s="461">
        <f>F410</f>
        <v>0.18</v>
      </c>
      <c r="G248" s="93"/>
      <c r="H248" s="93"/>
      <c r="I248" s="93"/>
      <c r="J248" s="93"/>
      <c r="K248" s="93"/>
      <c r="L248" s="380" t="str">
        <f>M410</f>
        <v>Western_Africa</v>
      </c>
      <c r="M248" s="130"/>
      <c r="N248" s="562">
        <f>N410</f>
        <v>0.53900000000000003</v>
      </c>
      <c r="O248" s="562">
        <f t="shared" ref="O248:X248" si="76">O410</f>
        <v>0</v>
      </c>
      <c r="P248" s="562">
        <f t="shared" si="76"/>
        <v>7.4999999999999997E-2</v>
      </c>
      <c r="Q248" s="562">
        <f t="shared" si="76"/>
        <v>0</v>
      </c>
      <c r="R248" s="562">
        <f t="shared" si="76"/>
        <v>1.9E-2</v>
      </c>
      <c r="S248" s="562">
        <f t="shared" si="76"/>
        <v>0</v>
      </c>
      <c r="T248" s="562">
        <f t="shared" si="76"/>
        <v>0</v>
      </c>
      <c r="U248" s="562">
        <f t="shared" si="76"/>
        <v>6.4000000000000001E-2</v>
      </c>
      <c r="V248" s="562">
        <f t="shared" si="76"/>
        <v>2.7E-2</v>
      </c>
      <c r="W248" s="562">
        <f t="shared" si="76"/>
        <v>1.2999999999999999E-2</v>
      </c>
      <c r="X248" s="562">
        <f t="shared" si="76"/>
        <v>0.26500000000000001</v>
      </c>
      <c r="Y248" s="125" t="s">
        <v>653</v>
      </c>
      <c r="Z248" s="130">
        <v>13.5</v>
      </c>
      <c r="AA248" s="125"/>
    </row>
    <row r="249" spans="2:28">
      <c r="B249" s="684" t="s">
        <v>594</v>
      </c>
      <c r="C249" s="557">
        <v>577.22616240922889</v>
      </c>
      <c r="D249" s="402" t="s">
        <v>653</v>
      </c>
      <c r="E249" s="130"/>
      <c r="F249" s="564">
        <f>F410</f>
        <v>0.18</v>
      </c>
      <c r="G249" s="93"/>
      <c r="H249" s="93"/>
      <c r="I249" s="93"/>
      <c r="J249" s="93"/>
      <c r="K249" s="93"/>
      <c r="L249" s="380" t="str">
        <f>M410</f>
        <v>Western_Africa</v>
      </c>
      <c r="M249" s="130"/>
      <c r="N249" s="562">
        <f>N410</f>
        <v>0.53900000000000003</v>
      </c>
      <c r="O249" s="562">
        <f t="shared" ref="O249:X249" si="77">O410</f>
        <v>0</v>
      </c>
      <c r="P249" s="562">
        <f t="shared" si="77"/>
        <v>7.4999999999999997E-2</v>
      </c>
      <c r="Q249" s="562">
        <f t="shared" si="77"/>
        <v>0</v>
      </c>
      <c r="R249" s="562">
        <f t="shared" si="77"/>
        <v>1.9E-2</v>
      </c>
      <c r="S249" s="562">
        <f t="shared" si="77"/>
        <v>0</v>
      </c>
      <c r="T249" s="562">
        <f t="shared" si="77"/>
        <v>0</v>
      </c>
      <c r="U249" s="562">
        <f t="shared" si="77"/>
        <v>6.4000000000000001E-2</v>
      </c>
      <c r="V249" s="562">
        <f t="shared" si="77"/>
        <v>2.7E-2</v>
      </c>
      <c r="W249" s="562">
        <f t="shared" si="77"/>
        <v>1.2999999999999999E-2</v>
      </c>
      <c r="X249" s="562">
        <f t="shared" si="77"/>
        <v>0.26500000000000001</v>
      </c>
      <c r="Y249" s="125" t="s">
        <v>653</v>
      </c>
      <c r="Z249" s="130">
        <v>2</v>
      </c>
      <c r="AA249" s="125"/>
    </row>
    <row r="250" spans="2:28">
      <c r="B250" s="684" t="s">
        <v>457</v>
      </c>
      <c r="C250" s="557">
        <v>615.69957527366182</v>
      </c>
      <c r="D250" s="402"/>
      <c r="E250" s="560" t="s">
        <v>457</v>
      </c>
      <c r="F250" s="461">
        <v>1.95</v>
      </c>
      <c r="G250" s="529">
        <v>0.37</v>
      </c>
      <c r="H250" s="529">
        <v>0.59</v>
      </c>
      <c r="I250" s="529">
        <v>0</v>
      </c>
      <c r="J250" s="529">
        <v>0</v>
      </c>
      <c r="K250" s="529">
        <v>0.04</v>
      </c>
      <c r="L250" s="125" t="str">
        <f>M405</f>
        <v>South_America</v>
      </c>
      <c r="M250" s="130"/>
      <c r="N250" s="562">
        <f t="shared" ref="N250:X250" si="78">N405</f>
        <v>0.54100000000000004</v>
      </c>
      <c r="O250" s="562">
        <f t="shared" si="78"/>
        <v>3.3000000000000002E-2</v>
      </c>
      <c r="P250" s="562">
        <f t="shared" si="78"/>
        <v>0.124</v>
      </c>
      <c r="Q250" s="562">
        <f t="shared" si="78"/>
        <v>0</v>
      </c>
      <c r="R250" s="562">
        <f t="shared" si="78"/>
        <v>1.7000000000000001E-2</v>
      </c>
      <c r="S250" s="562">
        <f t="shared" si="78"/>
        <v>1.9E-2</v>
      </c>
      <c r="T250" s="562">
        <f t="shared" si="78"/>
        <v>6.0000000000000001E-3</v>
      </c>
      <c r="U250" s="562">
        <f t="shared" si="78"/>
        <v>0.13700000000000001</v>
      </c>
      <c r="V250" s="562">
        <f t="shared" si="78"/>
        <v>0.02</v>
      </c>
      <c r="W250" s="562">
        <f t="shared" si="78"/>
        <v>0.03</v>
      </c>
      <c r="X250" s="562">
        <f t="shared" si="78"/>
        <v>7.1999999999999995E-2</v>
      </c>
      <c r="Y250" s="125" t="s">
        <v>653</v>
      </c>
      <c r="Z250" s="130">
        <v>0.8</v>
      </c>
      <c r="AA250" s="125"/>
    </row>
    <row r="251" spans="2:28">
      <c r="B251" s="684" t="s">
        <v>440</v>
      </c>
      <c r="C251" s="557">
        <v>764.61328169482056</v>
      </c>
      <c r="D251" s="402"/>
      <c r="E251" s="560" t="s">
        <v>440</v>
      </c>
      <c r="F251" s="461">
        <v>0.37</v>
      </c>
      <c r="G251" s="529">
        <v>0.24</v>
      </c>
      <c r="H251" s="529">
        <v>0</v>
      </c>
      <c r="I251" s="529">
        <v>0</v>
      </c>
      <c r="J251" s="529">
        <v>0</v>
      </c>
      <c r="K251" s="529">
        <v>0.76</v>
      </c>
      <c r="L251" s="125" t="str">
        <f>M393</f>
        <v>Central_America</v>
      </c>
      <c r="M251" s="130"/>
      <c r="N251" s="562">
        <f t="shared" ref="N251:X251" si="79">N393</f>
        <v>0.627</v>
      </c>
      <c r="O251" s="562">
        <f t="shared" si="79"/>
        <v>0</v>
      </c>
      <c r="P251" s="562">
        <f t="shared" si="79"/>
        <v>0.126</v>
      </c>
      <c r="Q251" s="562">
        <f t="shared" si="79"/>
        <v>3.0000000000000001E-3</v>
      </c>
      <c r="R251" s="562">
        <f t="shared" si="79"/>
        <v>2.1999999999999999E-2</v>
      </c>
      <c r="S251" s="562">
        <f t="shared" si="79"/>
        <v>0</v>
      </c>
      <c r="T251" s="562">
        <f t="shared" si="79"/>
        <v>0</v>
      </c>
      <c r="U251" s="562">
        <f t="shared" si="79"/>
        <v>0.10299999999999999</v>
      </c>
      <c r="V251" s="562">
        <f t="shared" si="79"/>
        <v>2.7E-2</v>
      </c>
      <c r="W251" s="562">
        <f t="shared" si="79"/>
        <v>3.3000000000000002E-2</v>
      </c>
      <c r="X251" s="562">
        <f t="shared" si="79"/>
        <v>0.06</v>
      </c>
      <c r="Y251" s="125" t="s">
        <v>653</v>
      </c>
      <c r="Z251" s="130">
        <v>11.5</v>
      </c>
      <c r="AA251" s="125"/>
    </row>
    <row r="252" spans="2:28">
      <c r="B252" s="684" t="s">
        <v>450</v>
      </c>
      <c r="C252" s="557">
        <v>359.08721846448907</v>
      </c>
      <c r="D252" s="402"/>
      <c r="E252" s="560" t="s">
        <v>450</v>
      </c>
      <c r="F252" s="461">
        <v>0.53</v>
      </c>
      <c r="G252" s="93"/>
      <c r="H252" s="93"/>
      <c r="I252" s="93"/>
      <c r="J252" s="93"/>
      <c r="K252" s="93"/>
      <c r="L252" s="125" t="str">
        <f>M393</f>
        <v>Central_America</v>
      </c>
      <c r="M252" s="130"/>
      <c r="N252" s="562">
        <f t="shared" ref="N252:X252" si="80">N393</f>
        <v>0.627</v>
      </c>
      <c r="O252" s="562">
        <f t="shared" si="80"/>
        <v>0</v>
      </c>
      <c r="P252" s="562">
        <f t="shared" si="80"/>
        <v>0.126</v>
      </c>
      <c r="Q252" s="562">
        <f t="shared" si="80"/>
        <v>3.0000000000000001E-3</v>
      </c>
      <c r="R252" s="562">
        <f t="shared" si="80"/>
        <v>2.1999999999999999E-2</v>
      </c>
      <c r="S252" s="562">
        <f t="shared" si="80"/>
        <v>0</v>
      </c>
      <c r="T252" s="562">
        <f t="shared" si="80"/>
        <v>0</v>
      </c>
      <c r="U252" s="562">
        <f t="shared" si="80"/>
        <v>0.10299999999999999</v>
      </c>
      <c r="V252" s="562">
        <f t="shared" si="80"/>
        <v>2.7E-2</v>
      </c>
      <c r="W252" s="562">
        <f t="shared" si="80"/>
        <v>3.3000000000000002E-2</v>
      </c>
      <c r="X252" s="562">
        <f t="shared" si="80"/>
        <v>0.06</v>
      </c>
      <c r="Y252" s="125" t="s">
        <v>653</v>
      </c>
      <c r="Z252" s="130">
        <v>9.4</v>
      </c>
      <c r="AA252" s="125"/>
    </row>
    <row r="253" spans="2:28">
      <c r="B253" s="684" t="s">
        <v>325</v>
      </c>
      <c r="C253" s="557">
        <v>191.06812185105576</v>
      </c>
      <c r="D253" s="402"/>
      <c r="E253" s="130" t="s">
        <v>325</v>
      </c>
      <c r="F253" s="461">
        <v>0.4</v>
      </c>
      <c r="G253" s="529">
        <v>0</v>
      </c>
      <c r="H253" s="529">
        <v>0.7</v>
      </c>
      <c r="I253" s="529">
        <v>0.1</v>
      </c>
      <c r="J253" s="529">
        <v>0.04</v>
      </c>
      <c r="K253" s="529">
        <v>0.16</v>
      </c>
      <c r="L253" s="125" t="str">
        <f>M397</f>
        <v>Eastern_Europe</v>
      </c>
      <c r="M253" s="130" t="s">
        <v>325</v>
      </c>
      <c r="N253" s="561">
        <v>0.28999999999999998</v>
      </c>
      <c r="O253" s="561">
        <v>0</v>
      </c>
      <c r="P253" s="561">
        <v>0.15</v>
      </c>
      <c r="Q253" s="561">
        <v>0</v>
      </c>
      <c r="R253" s="561">
        <v>0</v>
      </c>
      <c r="S253" s="561">
        <v>0</v>
      </c>
      <c r="T253" s="561">
        <v>0</v>
      </c>
      <c r="U253" s="561">
        <v>0.17</v>
      </c>
      <c r="V253" s="561">
        <v>0.02</v>
      </c>
      <c r="W253" s="561">
        <v>0.02</v>
      </c>
      <c r="X253" s="561">
        <v>0.35</v>
      </c>
      <c r="Y253" s="125"/>
      <c r="Z253" s="130">
        <v>9.6999999999999993</v>
      </c>
      <c r="AA253" s="125"/>
    </row>
    <row r="254" spans="2:28">
      <c r="B254" s="684" t="s">
        <v>334</v>
      </c>
      <c r="C254" s="557">
        <v>3.2314260442553373E-2</v>
      </c>
      <c r="D254" s="402"/>
      <c r="E254" s="130" t="s">
        <v>334</v>
      </c>
      <c r="F254" s="461">
        <v>0.48</v>
      </c>
      <c r="G254" s="529">
        <v>0</v>
      </c>
      <c r="H254" s="529">
        <v>0.72</v>
      </c>
      <c r="I254" s="529">
        <v>0.08</v>
      </c>
      <c r="J254" s="529">
        <v>0.05</v>
      </c>
      <c r="K254" s="529">
        <v>0.15</v>
      </c>
      <c r="L254" s="125" t="str">
        <f>M402</f>
        <v>Northern_Europe</v>
      </c>
      <c r="M254" s="93" t="s">
        <v>334</v>
      </c>
      <c r="N254" s="561">
        <v>0.41199999999999998</v>
      </c>
      <c r="O254" s="561">
        <v>1.4E-2</v>
      </c>
      <c r="P254" s="561">
        <v>0.10299999999999999</v>
      </c>
      <c r="Q254" s="561">
        <v>0.03</v>
      </c>
      <c r="R254" s="561">
        <v>3.5000000000000003E-2</v>
      </c>
      <c r="S254" s="561">
        <v>5.0999999999999997E-2</v>
      </c>
      <c r="T254" s="561">
        <v>0</v>
      </c>
      <c r="U254" s="561">
        <v>0</v>
      </c>
      <c r="V254" s="561">
        <v>0</v>
      </c>
      <c r="W254" s="561">
        <v>0</v>
      </c>
      <c r="X254" s="561">
        <v>0.35399999999999998</v>
      </c>
      <c r="Y254" s="125"/>
      <c r="Z254" s="130">
        <v>0.4</v>
      </c>
      <c r="AA254" s="125"/>
    </row>
    <row r="255" spans="2:28">
      <c r="B255" s="684" t="s">
        <v>300</v>
      </c>
      <c r="C255" s="557">
        <v>607.69882173352266</v>
      </c>
      <c r="D255" s="402"/>
      <c r="E255" s="560" t="s">
        <v>300</v>
      </c>
      <c r="F255" s="461">
        <v>0.12</v>
      </c>
      <c r="G255" s="93"/>
      <c r="H255" s="93"/>
      <c r="I255" s="93"/>
      <c r="J255" s="93"/>
      <c r="K255" s="93"/>
      <c r="L255" s="125" t="str">
        <f>M408</f>
        <v>Southern_Asia</v>
      </c>
      <c r="M255" s="130" t="s">
        <v>300</v>
      </c>
      <c r="N255" s="561">
        <v>0.53</v>
      </c>
      <c r="O255" s="561">
        <v>0</v>
      </c>
      <c r="P255" s="561">
        <v>6.4000000000000001E-2</v>
      </c>
      <c r="Q255" s="561">
        <v>0</v>
      </c>
      <c r="R255" s="561">
        <v>0</v>
      </c>
      <c r="S255" s="561">
        <v>0</v>
      </c>
      <c r="T255" s="561">
        <v>0</v>
      </c>
      <c r="U255" s="561">
        <v>5.0999999999999997E-2</v>
      </c>
      <c r="V255" s="561">
        <v>2E-3</v>
      </c>
      <c r="W255" s="561">
        <v>4.0000000000000001E-3</v>
      </c>
      <c r="X255" s="561">
        <v>0.35</v>
      </c>
      <c r="Y255" s="125"/>
      <c r="Z255" s="130">
        <v>1393</v>
      </c>
      <c r="AA255" s="125"/>
      <c r="AB255" s="565"/>
    </row>
    <row r="256" spans="2:28">
      <c r="B256" s="684" t="s">
        <v>291</v>
      </c>
      <c r="C256" s="557">
        <v>674.50011325265746</v>
      </c>
      <c r="D256" s="402"/>
      <c r="E256" s="560" t="s">
        <v>291</v>
      </c>
      <c r="F256" s="461">
        <v>0.19</v>
      </c>
      <c r="G256" s="93"/>
      <c r="H256" s="93"/>
      <c r="I256" s="93"/>
      <c r="J256" s="93"/>
      <c r="K256" s="93"/>
      <c r="L256" s="125" t="str">
        <f>M406</f>
        <v>South_Eastern_Asia</v>
      </c>
      <c r="M256" s="130" t="s">
        <v>291</v>
      </c>
      <c r="N256" s="561">
        <v>0.74</v>
      </c>
      <c r="O256" s="561">
        <v>0</v>
      </c>
      <c r="P256" s="561">
        <v>0.1</v>
      </c>
      <c r="Q256" s="561">
        <v>0</v>
      </c>
      <c r="R256" s="561">
        <v>0.02</v>
      </c>
      <c r="S256" s="561">
        <v>0</v>
      </c>
      <c r="T256" s="561">
        <v>0</v>
      </c>
      <c r="U256" s="561">
        <v>0.08</v>
      </c>
      <c r="V256" s="561">
        <v>0.02</v>
      </c>
      <c r="W256" s="561">
        <v>0.02</v>
      </c>
      <c r="X256" s="561">
        <v>0.02</v>
      </c>
      <c r="Y256" s="125"/>
      <c r="Z256" s="130">
        <v>275.10000000000002</v>
      </c>
      <c r="AA256" s="125"/>
    </row>
    <row r="257" spans="2:27">
      <c r="B257" s="684" t="s">
        <v>595</v>
      </c>
      <c r="C257" s="557">
        <v>420.91570869559075</v>
      </c>
      <c r="D257" s="402"/>
      <c r="E257" s="560" t="s">
        <v>371</v>
      </c>
      <c r="F257" s="461">
        <v>0.06</v>
      </c>
      <c r="G257" s="93"/>
      <c r="H257" s="93"/>
      <c r="I257" s="93"/>
      <c r="J257" s="93"/>
      <c r="K257" s="93"/>
      <c r="L257" s="125" t="str">
        <f>M408</f>
        <v>Southern_Asia</v>
      </c>
      <c r="M257" s="130"/>
      <c r="N257" s="562">
        <f t="shared" ref="N257:X257" si="81">N408</f>
        <v>0.66100000000000003</v>
      </c>
      <c r="O257" s="562">
        <f t="shared" si="81"/>
        <v>0</v>
      </c>
      <c r="P257" s="562">
        <f t="shared" si="81"/>
        <v>9.1999999999999998E-2</v>
      </c>
      <c r="Q257" s="562">
        <f t="shared" si="81"/>
        <v>0</v>
      </c>
      <c r="R257" s="562">
        <f t="shared" si="81"/>
        <v>1.2E-2</v>
      </c>
      <c r="S257" s="562">
        <f t="shared" si="81"/>
        <v>0</v>
      </c>
      <c r="T257" s="562">
        <f t="shared" si="81"/>
        <v>4.0000000000000001E-3</v>
      </c>
      <c r="U257" s="562">
        <f t="shared" si="81"/>
        <v>7.0000000000000007E-2</v>
      </c>
      <c r="V257" s="562">
        <f t="shared" si="81"/>
        <v>8.9999999999999993E-3</v>
      </c>
      <c r="W257" s="562">
        <f t="shared" si="81"/>
        <v>1.4999999999999999E-2</v>
      </c>
      <c r="X257" s="562">
        <f t="shared" si="81"/>
        <v>0.13900000000000001</v>
      </c>
      <c r="Y257" s="125" t="s">
        <v>653</v>
      </c>
      <c r="Z257" s="130">
        <v>85</v>
      </c>
      <c r="AA257" s="125"/>
    </row>
    <row r="258" spans="2:27">
      <c r="B258" s="684" t="s">
        <v>304</v>
      </c>
      <c r="C258" s="557">
        <v>787.91671856532821</v>
      </c>
      <c r="D258" s="402" t="s">
        <v>653</v>
      </c>
      <c r="E258" s="130"/>
      <c r="F258" s="564">
        <f>F411</f>
        <v>0.69</v>
      </c>
      <c r="G258" s="558"/>
      <c r="H258" s="558"/>
      <c r="I258" s="558"/>
      <c r="J258" s="558"/>
      <c r="K258" s="558"/>
      <c r="L258" s="125" t="str">
        <f>M411</f>
        <v>Western_Asia</v>
      </c>
      <c r="M258" s="130" t="s">
        <v>304</v>
      </c>
      <c r="N258" s="561">
        <v>0.54800000000000004</v>
      </c>
      <c r="O258" s="561">
        <v>0</v>
      </c>
      <c r="P258" s="561">
        <v>7.0000000000000007E-2</v>
      </c>
      <c r="Q258" s="561">
        <v>2.5999999999999999E-2</v>
      </c>
      <c r="R258" s="561">
        <v>3.5000000000000003E-2</v>
      </c>
      <c r="S258" s="561">
        <v>0</v>
      </c>
      <c r="T258" s="561">
        <v>5.0000000000000001E-3</v>
      </c>
      <c r="U258" s="561">
        <v>0.252</v>
      </c>
      <c r="V258" s="561">
        <v>0.03</v>
      </c>
      <c r="W258" s="561">
        <v>2.9000000000000001E-2</v>
      </c>
      <c r="X258" s="561">
        <v>4.0000000000000001E-3</v>
      </c>
      <c r="Y258" s="125"/>
      <c r="Z258" s="130">
        <v>40.1</v>
      </c>
      <c r="AA258" s="125"/>
    </row>
    <row r="259" spans="2:27">
      <c r="B259" s="684" t="s">
        <v>346</v>
      </c>
      <c r="C259" s="557">
        <v>189.48199631026586</v>
      </c>
      <c r="D259" s="402"/>
      <c r="E259" s="130" t="s">
        <v>346</v>
      </c>
      <c r="F259" s="461">
        <v>0.62</v>
      </c>
      <c r="G259" s="529">
        <v>0</v>
      </c>
      <c r="H259" s="529">
        <v>0.53</v>
      </c>
      <c r="I259" s="529">
        <v>0.04</v>
      </c>
      <c r="J259" s="529">
        <v>0.04</v>
      </c>
      <c r="K259" s="529">
        <v>0.4</v>
      </c>
      <c r="L259" s="125" t="str">
        <f>M412</f>
        <v>Western_Europe</v>
      </c>
      <c r="M259" s="130" t="s">
        <v>346</v>
      </c>
      <c r="N259" s="561">
        <v>0.17</v>
      </c>
      <c r="O259" s="561">
        <v>4.4999999999999998E-2</v>
      </c>
      <c r="P259" s="561">
        <v>0.19800000000000001</v>
      </c>
      <c r="Q259" s="561">
        <v>0</v>
      </c>
      <c r="R259" s="561">
        <v>0.23400000000000001</v>
      </c>
      <c r="S259" s="561">
        <v>6.3E-2</v>
      </c>
      <c r="T259" s="561">
        <v>0</v>
      </c>
      <c r="U259" s="561">
        <v>0</v>
      </c>
      <c r="V259" s="561">
        <v>0</v>
      </c>
      <c r="W259" s="561">
        <v>0</v>
      </c>
      <c r="X259" s="561">
        <v>0.29099999999999998</v>
      </c>
      <c r="Y259" s="125"/>
      <c r="Z259" s="130">
        <v>5</v>
      </c>
      <c r="AA259" s="125"/>
    </row>
    <row r="260" spans="2:27">
      <c r="B260" s="684" t="s">
        <v>596</v>
      </c>
      <c r="C260" s="557">
        <v>204.25785650194291</v>
      </c>
      <c r="D260" s="402" t="s">
        <v>653</v>
      </c>
      <c r="E260" s="566"/>
      <c r="F260" s="564">
        <f>F412</f>
        <v>0.59</v>
      </c>
      <c r="G260" s="558"/>
      <c r="H260" s="558"/>
      <c r="I260" s="558"/>
      <c r="J260" s="558"/>
      <c r="K260" s="558"/>
      <c r="L260" s="380" t="str">
        <f>M412</f>
        <v>Western_Europe</v>
      </c>
      <c r="M260" s="566"/>
      <c r="N260" s="562">
        <f>N412</f>
        <v>0.33200000000000002</v>
      </c>
      <c r="O260" s="562">
        <f t="shared" ref="O260:X260" si="82">O412</f>
        <v>2.7E-2</v>
      </c>
      <c r="P260" s="562">
        <f t="shared" si="82"/>
        <v>0.17199999999999999</v>
      </c>
      <c r="Q260" s="562">
        <f t="shared" si="82"/>
        <v>2.3E-2</v>
      </c>
      <c r="R260" s="562">
        <f t="shared" si="82"/>
        <v>5.8999999999999997E-2</v>
      </c>
      <c r="S260" s="562">
        <f t="shared" si="82"/>
        <v>0.03</v>
      </c>
      <c r="T260" s="562">
        <f t="shared" si="82"/>
        <v>0</v>
      </c>
      <c r="U260" s="562">
        <f t="shared" si="82"/>
        <v>0.20499999999999999</v>
      </c>
      <c r="V260" s="562">
        <f t="shared" si="82"/>
        <v>1.4999999999999999E-2</v>
      </c>
      <c r="W260" s="562">
        <f t="shared" si="82"/>
        <v>1.4E-2</v>
      </c>
      <c r="X260" s="562">
        <f t="shared" si="82"/>
        <v>0.123</v>
      </c>
      <c r="Y260" s="125" t="s">
        <v>653</v>
      </c>
      <c r="Z260" s="130"/>
      <c r="AA260" s="125"/>
    </row>
    <row r="261" spans="2:27">
      <c r="B261" s="684" t="s">
        <v>377</v>
      </c>
      <c r="C261" s="557">
        <v>258.34601334393375</v>
      </c>
      <c r="D261" s="402"/>
      <c r="E261" s="560" t="s">
        <v>377</v>
      </c>
      <c r="F261" s="461">
        <v>0.62</v>
      </c>
      <c r="G261" s="529">
        <v>0</v>
      </c>
      <c r="H261" s="529">
        <v>0.89</v>
      </c>
      <c r="I261" s="529">
        <v>0</v>
      </c>
      <c r="J261" s="529">
        <v>0</v>
      </c>
      <c r="K261" s="529">
        <v>0.11</v>
      </c>
      <c r="L261" s="125" t="str">
        <f>M411</f>
        <v>Western_Asia</v>
      </c>
      <c r="M261" s="130"/>
      <c r="N261" s="562">
        <f t="shared" ref="N261:X261" si="83">N411</f>
        <v>0.42199999999999999</v>
      </c>
      <c r="O261" s="562">
        <f t="shared" si="83"/>
        <v>3.2000000000000001E-2</v>
      </c>
      <c r="P261" s="562">
        <f t="shared" si="83"/>
        <v>0.153</v>
      </c>
      <c r="Q261" s="562">
        <f t="shared" si="83"/>
        <v>8.0000000000000002E-3</v>
      </c>
      <c r="R261" s="562">
        <f t="shared" si="83"/>
        <v>0.03</v>
      </c>
      <c r="S261" s="562">
        <f t="shared" si="83"/>
        <v>4.0000000000000001E-3</v>
      </c>
      <c r="T261" s="562">
        <f t="shared" si="83"/>
        <v>3.0000000000000001E-3</v>
      </c>
      <c r="U261" s="562">
        <f t="shared" si="83"/>
        <v>0.17199999999999999</v>
      </c>
      <c r="V261" s="562">
        <f t="shared" si="83"/>
        <v>2.5000000000000001E-2</v>
      </c>
      <c r="W261" s="562">
        <f t="shared" si="83"/>
        <v>3.4000000000000002E-2</v>
      </c>
      <c r="X261" s="562">
        <f t="shared" si="83"/>
        <v>0.11799999999999999</v>
      </c>
      <c r="Y261" s="125" t="s">
        <v>653</v>
      </c>
      <c r="Z261" s="130">
        <v>9.4</v>
      </c>
      <c r="AA261" s="125"/>
    </row>
    <row r="262" spans="2:27">
      <c r="B262" s="684" t="s">
        <v>340</v>
      </c>
      <c r="C262" s="557">
        <v>223.71243671342881</v>
      </c>
      <c r="D262" s="402"/>
      <c r="E262" s="130" t="s">
        <v>340</v>
      </c>
      <c r="F262" s="461">
        <v>0.55000000000000004</v>
      </c>
      <c r="G262" s="529">
        <v>0</v>
      </c>
      <c r="H262" s="529">
        <v>0.46</v>
      </c>
      <c r="I262" s="529">
        <v>0.17</v>
      </c>
      <c r="J262" s="529">
        <v>0.12</v>
      </c>
      <c r="K262" s="529">
        <v>0.25</v>
      </c>
      <c r="L262" s="125" t="str">
        <f>M409</f>
        <v>Southern_Europe</v>
      </c>
      <c r="M262" s="130" t="s">
        <v>340</v>
      </c>
      <c r="N262" s="561">
        <v>0.126</v>
      </c>
      <c r="O262" s="561">
        <v>0</v>
      </c>
      <c r="P262" s="561">
        <v>0.39200000000000002</v>
      </c>
      <c r="Q262" s="561">
        <v>0</v>
      </c>
      <c r="R262" s="561">
        <v>0</v>
      </c>
      <c r="S262" s="561">
        <v>0</v>
      </c>
      <c r="T262" s="561">
        <v>0</v>
      </c>
      <c r="U262" s="561">
        <v>0.27600000000000002</v>
      </c>
      <c r="V262" s="561">
        <v>2.4E-2</v>
      </c>
      <c r="W262" s="561">
        <v>5.8999999999999997E-2</v>
      </c>
      <c r="X262" s="561">
        <v>0.123</v>
      </c>
      <c r="Y262" s="125"/>
      <c r="Z262" s="130">
        <v>59</v>
      </c>
      <c r="AA262" s="125"/>
    </row>
    <row r="263" spans="2:27">
      <c r="B263" s="684" t="s">
        <v>352</v>
      </c>
      <c r="C263" s="557">
        <v>497.6041530355115</v>
      </c>
      <c r="D263" s="402"/>
      <c r="E263" s="560" t="s">
        <v>352</v>
      </c>
      <c r="F263" s="461">
        <v>7.0000000000000007E-2</v>
      </c>
      <c r="G263" s="529">
        <v>0</v>
      </c>
      <c r="H263" s="529">
        <v>1</v>
      </c>
      <c r="I263" s="529">
        <v>0</v>
      </c>
      <c r="J263" s="529">
        <v>0</v>
      </c>
      <c r="K263" s="529">
        <v>0</v>
      </c>
      <c r="L263" s="125" t="str">
        <f>M393</f>
        <v>Central_America</v>
      </c>
      <c r="M263" s="130" t="s">
        <v>352</v>
      </c>
      <c r="N263" s="561">
        <v>0.62</v>
      </c>
      <c r="O263" s="561">
        <v>0</v>
      </c>
      <c r="P263" s="561">
        <v>0.15</v>
      </c>
      <c r="Q263" s="561">
        <v>0.01</v>
      </c>
      <c r="R263" s="561">
        <v>0.05</v>
      </c>
      <c r="S263" s="561">
        <v>0</v>
      </c>
      <c r="T263" s="561">
        <v>0</v>
      </c>
      <c r="U263" s="561">
        <v>0.12</v>
      </c>
      <c r="V263" s="561">
        <v>0.02</v>
      </c>
      <c r="W263" s="561">
        <v>0.03</v>
      </c>
      <c r="X263" s="561">
        <v>0</v>
      </c>
      <c r="Y263" s="125"/>
      <c r="Z263" s="130">
        <v>2.8</v>
      </c>
      <c r="AA263" s="125"/>
    </row>
    <row r="264" spans="2:27">
      <c r="B264" s="684" t="s">
        <v>287</v>
      </c>
      <c r="C264" s="557">
        <v>408.25411194196204</v>
      </c>
      <c r="D264" s="402"/>
      <c r="E264" s="130" t="s">
        <v>287</v>
      </c>
      <c r="F264" s="461">
        <v>0.35</v>
      </c>
      <c r="G264" s="529">
        <v>0</v>
      </c>
      <c r="H264" s="529">
        <v>0.01</v>
      </c>
      <c r="I264" s="529">
        <v>0.76</v>
      </c>
      <c r="J264" s="529">
        <v>0</v>
      </c>
      <c r="K264" s="529">
        <v>0.22</v>
      </c>
      <c r="L264" s="125" t="str">
        <f>M396</f>
        <v>Eastern_Asia</v>
      </c>
      <c r="M264" s="130" t="s">
        <v>287</v>
      </c>
      <c r="N264" s="561">
        <v>0.26</v>
      </c>
      <c r="O264" s="561">
        <v>0</v>
      </c>
      <c r="P264" s="561">
        <v>0.46</v>
      </c>
      <c r="Q264" s="561">
        <v>0</v>
      </c>
      <c r="R264" s="561">
        <v>0</v>
      </c>
      <c r="S264" s="561">
        <v>0</v>
      </c>
      <c r="T264" s="561">
        <v>0</v>
      </c>
      <c r="U264" s="561">
        <v>0.09</v>
      </c>
      <c r="V264" s="561">
        <v>0.08</v>
      </c>
      <c r="W264" s="561">
        <v>7.0000000000000007E-2</v>
      </c>
      <c r="X264" s="561">
        <v>0.04</v>
      </c>
      <c r="Y264" s="125"/>
      <c r="Z264" s="130">
        <v>125.4</v>
      </c>
      <c r="AA264" s="125"/>
    </row>
    <row r="265" spans="2:27">
      <c r="B265" s="684" t="s">
        <v>305</v>
      </c>
      <c r="C265" s="557">
        <v>381.86279856047622</v>
      </c>
      <c r="D265" s="402"/>
      <c r="E265" s="560" t="s">
        <v>305</v>
      </c>
      <c r="F265" s="461">
        <v>0.38</v>
      </c>
      <c r="G265" s="529">
        <v>0</v>
      </c>
      <c r="H265" s="529">
        <v>0.85</v>
      </c>
      <c r="I265" s="529">
        <v>0</v>
      </c>
      <c r="J265" s="529">
        <v>0</v>
      </c>
      <c r="K265" s="529">
        <v>0.15</v>
      </c>
      <c r="L265" s="125" t="str">
        <f>M411</f>
        <v>Western_Asia</v>
      </c>
      <c r="M265" s="130" t="s">
        <v>305</v>
      </c>
      <c r="N265" s="561">
        <v>0.52</v>
      </c>
      <c r="O265" s="561">
        <v>0</v>
      </c>
      <c r="P265" s="561">
        <v>0.13</v>
      </c>
      <c r="Q265" s="561">
        <v>0</v>
      </c>
      <c r="R265" s="561">
        <v>0</v>
      </c>
      <c r="S265" s="561">
        <v>0</v>
      </c>
      <c r="T265" s="561">
        <v>0</v>
      </c>
      <c r="U265" s="561">
        <v>0.17</v>
      </c>
      <c r="V265" s="561">
        <v>0.01</v>
      </c>
      <c r="W265" s="561">
        <v>0.03</v>
      </c>
      <c r="X265" s="561">
        <v>0.14000000000000001</v>
      </c>
      <c r="Y265" s="125"/>
      <c r="Z265" s="130">
        <v>10.9</v>
      </c>
      <c r="AA265" s="125"/>
    </row>
    <row r="266" spans="2:27">
      <c r="B266" s="684" t="s">
        <v>284</v>
      </c>
      <c r="C266" s="557">
        <v>532.21770407285385</v>
      </c>
      <c r="D266" s="402" t="s">
        <v>653</v>
      </c>
      <c r="E266" s="130"/>
      <c r="F266" s="564">
        <f>F394</f>
        <v>0.34</v>
      </c>
      <c r="G266" s="558"/>
      <c r="H266" s="558"/>
      <c r="I266" s="558"/>
      <c r="J266" s="558"/>
      <c r="K266" s="558"/>
      <c r="L266" s="125" t="str">
        <f>M394</f>
        <v>Central_Asia</v>
      </c>
      <c r="M266" s="130" t="s">
        <v>284</v>
      </c>
      <c r="N266" s="561">
        <v>0.215</v>
      </c>
      <c r="O266" s="561">
        <v>2.8000000000000001E-2</v>
      </c>
      <c r="P266" s="561">
        <v>0.26500000000000001</v>
      </c>
      <c r="Q266" s="561">
        <v>0</v>
      </c>
      <c r="R266" s="561">
        <v>7.0000000000000007E-2</v>
      </c>
      <c r="S266" s="561">
        <v>0</v>
      </c>
      <c r="T266" s="561">
        <v>0</v>
      </c>
      <c r="U266" s="561">
        <v>0.16800000000000001</v>
      </c>
      <c r="V266" s="561">
        <v>1.4999999999999999E-2</v>
      </c>
      <c r="W266" s="561">
        <v>0.11799999999999999</v>
      </c>
      <c r="X266" s="561">
        <v>0.11899999999999999</v>
      </c>
      <c r="Y266" s="125"/>
      <c r="Z266" s="130">
        <v>19</v>
      </c>
      <c r="AA266" s="125"/>
    </row>
    <row r="267" spans="2:27">
      <c r="B267" s="684" t="s">
        <v>313</v>
      </c>
      <c r="C267" s="557">
        <v>274.25803622160259</v>
      </c>
      <c r="D267" s="402"/>
      <c r="E267" s="560" t="s">
        <v>313</v>
      </c>
      <c r="F267" s="461">
        <v>0.11</v>
      </c>
      <c r="G267" s="93"/>
      <c r="H267" s="93"/>
      <c r="I267" s="93"/>
      <c r="J267" s="93"/>
      <c r="K267" s="93"/>
      <c r="L267" s="125" t="str">
        <f>M395</f>
        <v>Eastern_Africa</v>
      </c>
      <c r="M267" s="130" t="s">
        <v>313</v>
      </c>
      <c r="N267" s="561">
        <v>0.64400000000000002</v>
      </c>
      <c r="O267" s="561">
        <v>0</v>
      </c>
      <c r="P267" s="561">
        <v>5.8999999999999997E-2</v>
      </c>
      <c r="Q267" s="561">
        <v>0</v>
      </c>
      <c r="R267" s="561">
        <v>0</v>
      </c>
      <c r="S267" s="561">
        <v>0</v>
      </c>
      <c r="T267" s="561">
        <v>0</v>
      </c>
      <c r="U267" s="561">
        <v>0.11899999999999999</v>
      </c>
      <c r="V267" s="561">
        <v>0.01</v>
      </c>
      <c r="W267" s="561">
        <v>0.02</v>
      </c>
      <c r="X267" s="561">
        <v>0.14899999999999999</v>
      </c>
      <c r="Y267" s="125"/>
      <c r="Z267" s="130">
        <v>54.7</v>
      </c>
      <c r="AA267" s="125"/>
    </row>
    <row r="268" spans="2:27">
      <c r="B268" s="684" t="s">
        <v>597</v>
      </c>
      <c r="C268" s="557">
        <v>529.62444777366818</v>
      </c>
      <c r="D268" s="402" t="s">
        <v>653</v>
      </c>
      <c r="E268" s="130"/>
      <c r="F268" s="564">
        <f>F403</f>
        <v>0.6</v>
      </c>
      <c r="G268" s="558"/>
      <c r="H268" s="558"/>
      <c r="I268" s="558"/>
      <c r="J268" s="558"/>
      <c r="K268" s="558"/>
      <c r="L268" s="380" t="str">
        <f>M403</f>
        <v>Oceania</v>
      </c>
      <c r="M268" s="566"/>
      <c r="N268" s="562">
        <f>N403</f>
        <v>0.25900000000000001</v>
      </c>
      <c r="O268" s="562">
        <f t="shared" ref="O268:X268" si="84">O403</f>
        <v>0.122</v>
      </c>
      <c r="P268" s="562">
        <f t="shared" si="84"/>
        <v>0.12</v>
      </c>
      <c r="Q268" s="562">
        <f t="shared" si="84"/>
        <v>6.5000000000000002E-2</v>
      </c>
      <c r="R268" s="562">
        <f t="shared" si="84"/>
        <v>2.9499999999999998E-2</v>
      </c>
      <c r="S268" s="562">
        <f t="shared" si="84"/>
        <v>3.5000000000000003E-2</v>
      </c>
      <c r="T268" s="562">
        <f t="shared" si="84"/>
        <v>0</v>
      </c>
      <c r="U268" s="562">
        <f t="shared" si="84"/>
        <v>8.3000000000000004E-2</v>
      </c>
      <c r="V268" s="562">
        <f t="shared" si="84"/>
        <v>1.7999999999999999E-2</v>
      </c>
      <c r="W268" s="562">
        <f t="shared" si="84"/>
        <v>2.8000000000000001E-2</v>
      </c>
      <c r="X268" s="562">
        <f t="shared" si="84"/>
        <v>0.24099999999999999</v>
      </c>
      <c r="Y268" s="125" t="s">
        <v>653</v>
      </c>
      <c r="Z268" s="130">
        <v>0.1</v>
      </c>
      <c r="AA268" s="125"/>
    </row>
    <row r="269" spans="2:27">
      <c r="B269" s="685" t="s">
        <v>598</v>
      </c>
      <c r="C269" s="557">
        <v>359.48250254137201</v>
      </c>
      <c r="D269" s="402" t="s">
        <v>653</v>
      </c>
      <c r="E269" s="130"/>
      <c r="F269" s="564">
        <f>F396</f>
        <v>0.48</v>
      </c>
      <c r="G269" s="558"/>
      <c r="H269" s="558"/>
      <c r="I269" s="558"/>
      <c r="J269" s="558"/>
      <c r="K269" s="558"/>
      <c r="L269" s="125" t="str">
        <f>M396</f>
        <v>Eastern_Asia</v>
      </c>
      <c r="M269" s="130"/>
      <c r="N269" s="562">
        <f t="shared" ref="N269:X269" si="85">N396</f>
        <v>0.40300000000000002</v>
      </c>
      <c r="O269" s="562">
        <f t="shared" si="85"/>
        <v>0</v>
      </c>
      <c r="P269" s="562">
        <f t="shared" si="85"/>
        <v>0.20399999999999999</v>
      </c>
      <c r="Q269" s="562">
        <f t="shared" si="85"/>
        <v>2.1000000000000001E-2</v>
      </c>
      <c r="R269" s="562">
        <f t="shared" si="85"/>
        <v>0.01</v>
      </c>
      <c r="S269" s="562">
        <f t="shared" si="85"/>
        <v>0</v>
      </c>
      <c r="T269" s="562">
        <f t="shared" si="85"/>
        <v>0</v>
      </c>
      <c r="U269" s="562">
        <f t="shared" si="85"/>
        <v>6.5000000000000002E-2</v>
      </c>
      <c r="V269" s="562">
        <f t="shared" si="85"/>
        <v>2.7E-2</v>
      </c>
      <c r="W269" s="562">
        <f t="shared" si="85"/>
        <v>4.2999999999999997E-2</v>
      </c>
      <c r="X269" s="562">
        <f t="shared" si="85"/>
        <v>0.22900000000000001</v>
      </c>
      <c r="Y269" s="125" t="s">
        <v>653</v>
      </c>
      <c r="Z269" s="130">
        <v>25.9</v>
      </c>
      <c r="AA269" s="125"/>
    </row>
    <row r="270" spans="2:27">
      <c r="B270" s="684" t="s">
        <v>599</v>
      </c>
      <c r="C270" s="557">
        <v>335.04687976350891</v>
      </c>
      <c r="D270" s="402"/>
      <c r="E270" s="130" t="s">
        <v>289</v>
      </c>
      <c r="F270" s="461">
        <v>0.35</v>
      </c>
      <c r="G270" s="529">
        <v>0</v>
      </c>
      <c r="H270" s="529">
        <v>0.18</v>
      </c>
      <c r="I270" s="529">
        <v>0.22</v>
      </c>
      <c r="J270" s="529">
        <v>0</v>
      </c>
      <c r="K270" s="529">
        <v>0.61</v>
      </c>
      <c r="L270" s="125" t="str">
        <f>M396</f>
        <v>Eastern_Asia</v>
      </c>
      <c r="M270" s="130" t="s">
        <v>289</v>
      </c>
      <c r="N270" s="561">
        <v>5.1999999999999998E-2</v>
      </c>
      <c r="O270" s="561">
        <v>0</v>
      </c>
      <c r="P270" s="561">
        <v>0.22600000000000001</v>
      </c>
      <c r="Q270" s="561">
        <v>6.6000000000000003E-2</v>
      </c>
      <c r="R270" s="561">
        <v>0</v>
      </c>
      <c r="S270" s="561">
        <v>0</v>
      </c>
      <c r="T270" s="561">
        <v>0</v>
      </c>
      <c r="U270" s="561">
        <v>0</v>
      </c>
      <c r="V270" s="561">
        <v>1.7000000000000001E-2</v>
      </c>
      <c r="W270" s="561">
        <v>2.3E-2</v>
      </c>
      <c r="X270" s="561">
        <v>0.61699999999999999</v>
      </c>
      <c r="Y270" s="125"/>
      <c r="Z270" s="130">
        <v>51.8</v>
      </c>
      <c r="AA270" s="125"/>
    </row>
    <row r="271" spans="2:27">
      <c r="B271" s="684" t="s">
        <v>600</v>
      </c>
      <c r="C271" s="557">
        <v>842.8157796622196</v>
      </c>
      <c r="D271" s="402" t="s">
        <v>653</v>
      </c>
      <c r="E271" s="130"/>
      <c r="F271" s="564">
        <f>F409</f>
        <v>0.47</v>
      </c>
      <c r="G271" s="558"/>
      <c r="H271" s="558"/>
      <c r="I271" s="558"/>
      <c r="J271" s="558"/>
      <c r="K271" s="558"/>
      <c r="L271" s="380" t="str">
        <f>M409</f>
        <v>Southern_Europe</v>
      </c>
      <c r="M271" s="566"/>
      <c r="N271" s="562">
        <f>N409</f>
        <v>0.35799999999999998</v>
      </c>
      <c r="O271" s="562">
        <f t="shared" ref="O271:X271" si="86">O409</f>
        <v>1.4E-2</v>
      </c>
      <c r="P271" s="562">
        <f t="shared" si="86"/>
        <v>0.214</v>
      </c>
      <c r="Q271" s="562">
        <f t="shared" si="86"/>
        <v>1.2E-2</v>
      </c>
      <c r="R271" s="562">
        <f t="shared" si="86"/>
        <v>2.8000000000000001E-2</v>
      </c>
      <c r="S271" s="562">
        <f t="shared" si="86"/>
        <v>1.0999999999999999E-2</v>
      </c>
      <c r="T271" s="562">
        <f t="shared" si="86"/>
        <v>2E-3</v>
      </c>
      <c r="U271" s="562">
        <f t="shared" si="86"/>
        <v>0.14099999999999999</v>
      </c>
      <c r="V271" s="562">
        <f t="shared" si="86"/>
        <v>0.02</v>
      </c>
      <c r="W271" s="562">
        <f t="shared" si="86"/>
        <v>3.5000000000000003E-2</v>
      </c>
      <c r="X271" s="562">
        <f t="shared" si="86"/>
        <v>0.16700000000000001</v>
      </c>
      <c r="Y271" s="125" t="s">
        <v>653</v>
      </c>
      <c r="Z271" s="130">
        <v>1.8</v>
      </c>
      <c r="AA271" s="125"/>
    </row>
    <row r="272" spans="2:27">
      <c r="B272" s="684" t="s">
        <v>378</v>
      </c>
      <c r="C272" s="557">
        <v>399.76965536565945</v>
      </c>
      <c r="D272" s="402"/>
      <c r="E272" s="560" t="s">
        <v>378</v>
      </c>
      <c r="F272" s="461">
        <v>3.05</v>
      </c>
      <c r="G272" s="529">
        <v>0</v>
      </c>
      <c r="H272" s="529">
        <v>0.75</v>
      </c>
      <c r="I272" s="529">
        <v>0</v>
      </c>
      <c r="J272" s="529">
        <v>0</v>
      </c>
      <c r="K272" s="529">
        <v>0.24</v>
      </c>
      <c r="L272" s="125" t="str">
        <f>M411</f>
        <v>Western_Asia</v>
      </c>
      <c r="M272" s="130"/>
      <c r="N272" s="562">
        <f>N411</f>
        <v>0.42199999999999999</v>
      </c>
      <c r="O272" s="562">
        <f t="shared" ref="O272:X272" si="87">O411</f>
        <v>3.2000000000000001E-2</v>
      </c>
      <c r="P272" s="562">
        <f t="shared" si="87"/>
        <v>0.153</v>
      </c>
      <c r="Q272" s="562">
        <f t="shared" si="87"/>
        <v>8.0000000000000002E-3</v>
      </c>
      <c r="R272" s="562">
        <f t="shared" si="87"/>
        <v>0.03</v>
      </c>
      <c r="S272" s="562">
        <f t="shared" si="87"/>
        <v>4.0000000000000001E-3</v>
      </c>
      <c r="T272" s="562">
        <f t="shared" si="87"/>
        <v>3.0000000000000001E-3</v>
      </c>
      <c r="U272" s="562">
        <f t="shared" si="87"/>
        <v>0.17199999999999999</v>
      </c>
      <c r="V272" s="562">
        <f t="shared" si="87"/>
        <v>2.5000000000000001E-2</v>
      </c>
      <c r="W272" s="562">
        <f t="shared" si="87"/>
        <v>3.4000000000000002E-2</v>
      </c>
      <c r="X272" s="562">
        <f t="shared" si="87"/>
        <v>0.11799999999999999</v>
      </c>
      <c r="Y272" s="125" t="s">
        <v>653</v>
      </c>
      <c r="Z272" s="130">
        <v>4.5</v>
      </c>
      <c r="AA272" s="125"/>
    </row>
    <row r="273" spans="2:27">
      <c r="B273" s="684" t="s">
        <v>601</v>
      </c>
      <c r="C273" s="557">
        <v>97.720914461216495</v>
      </c>
      <c r="D273" s="402" t="s">
        <v>653</v>
      </c>
      <c r="E273" s="566"/>
      <c r="F273" s="564">
        <f>F394</f>
        <v>0.34</v>
      </c>
      <c r="G273" s="558"/>
      <c r="H273" s="558"/>
      <c r="I273" s="558"/>
      <c r="J273" s="558"/>
      <c r="K273" s="558"/>
      <c r="L273" s="380" t="str">
        <f>M394</f>
        <v>Central_Asia</v>
      </c>
      <c r="M273" s="566"/>
      <c r="N273" s="562">
        <f>N394</f>
        <v>0.3</v>
      </c>
      <c r="O273" s="562">
        <f t="shared" ref="O273:X273" si="88">O394</f>
        <v>1.4E-2</v>
      </c>
      <c r="P273" s="562">
        <f t="shared" si="88"/>
        <v>0.247</v>
      </c>
      <c r="Q273" s="562">
        <f t="shared" si="88"/>
        <v>2.5000000000000001E-2</v>
      </c>
      <c r="R273" s="562">
        <f t="shared" si="88"/>
        <v>3.5000000000000003E-2</v>
      </c>
      <c r="S273" s="562">
        <f t="shared" si="88"/>
        <v>0</v>
      </c>
      <c r="T273" s="562">
        <f t="shared" si="88"/>
        <v>0</v>
      </c>
      <c r="U273" s="562">
        <f t="shared" si="88"/>
        <v>8.4000000000000005E-2</v>
      </c>
      <c r="V273" s="562">
        <f t="shared" si="88"/>
        <v>8.0000000000000002E-3</v>
      </c>
      <c r="W273" s="562">
        <f t="shared" si="88"/>
        <v>5.8999999999999997E-2</v>
      </c>
      <c r="X273" s="562">
        <f t="shared" si="88"/>
        <v>0.23</v>
      </c>
      <c r="Y273" s="125" t="s">
        <v>653</v>
      </c>
      <c r="Z273" s="130">
        <v>6.7</v>
      </c>
      <c r="AA273" s="125"/>
    </row>
    <row r="274" spans="2:27">
      <c r="B274" s="684" t="s">
        <v>292</v>
      </c>
      <c r="C274" s="557">
        <v>554.56191213040506</v>
      </c>
      <c r="D274" s="402"/>
      <c r="E274" s="560" t="s">
        <v>292</v>
      </c>
      <c r="F274" s="461">
        <v>0.26</v>
      </c>
      <c r="G274" s="93"/>
      <c r="H274" s="93"/>
      <c r="I274" s="93"/>
      <c r="J274" s="93"/>
      <c r="K274" s="93"/>
      <c r="L274" s="125" t="str">
        <f>M406</f>
        <v>South_Eastern_Asia</v>
      </c>
      <c r="M274" s="130" t="s">
        <v>292</v>
      </c>
      <c r="N274" s="561">
        <v>0.54300000000000004</v>
      </c>
      <c r="O274" s="561">
        <v>0</v>
      </c>
      <c r="P274" s="561">
        <v>3.3000000000000002E-2</v>
      </c>
      <c r="Q274" s="561">
        <v>0</v>
      </c>
      <c r="R274" s="561">
        <v>0</v>
      </c>
      <c r="S274" s="561">
        <v>0</v>
      </c>
      <c r="T274" s="561">
        <v>0</v>
      </c>
      <c r="U274" s="561">
        <v>7.8E-2</v>
      </c>
      <c r="V274" s="561">
        <v>3.7999999999999999E-2</v>
      </c>
      <c r="W274" s="561">
        <v>8.5000000000000006E-2</v>
      </c>
      <c r="X274" s="561">
        <v>0.223</v>
      </c>
      <c r="Y274" s="125"/>
      <c r="Z274" s="130">
        <v>7.5</v>
      </c>
      <c r="AA274" s="125"/>
    </row>
    <row r="275" spans="2:27">
      <c r="B275" s="684" t="s">
        <v>335</v>
      </c>
      <c r="C275" s="557">
        <v>117.20603105855093</v>
      </c>
      <c r="D275" s="402"/>
      <c r="E275" s="130" t="s">
        <v>335</v>
      </c>
      <c r="F275" s="461">
        <v>0.32</v>
      </c>
      <c r="G275" s="529">
        <v>0</v>
      </c>
      <c r="H275" s="529">
        <v>0.91</v>
      </c>
      <c r="I275" s="529">
        <v>0</v>
      </c>
      <c r="J275" s="529">
        <v>0.01</v>
      </c>
      <c r="K275" s="529">
        <v>0.09</v>
      </c>
      <c r="L275" s="125" t="str">
        <f>M402</f>
        <v>Northern_Europe</v>
      </c>
      <c r="M275" s="93" t="s">
        <v>335</v>
      </c>
      <c r="N275" s="561">
        <v>0</v>
      </c>
      <c r="O275" s="561">
        <v>0</v>
      </c>
      <c r="P275" s="561">
        <v>6.4000000000000001E-2</v>
      </c>
      <c r="Q275" s="561">
        <v>2.1000000000000001E-2</v>
      </c>
      <c r="R275" s="561">
        <v>0</v>
      </c>
      <c r="S275" s="561">
        <v>0</v>
      </c>
      <c r="T275" s="561">
        <v>0</v>
      </c>
      <c r="U275" s="561">
        <v>8.5000000000000006E-2</v>
      </c>
      <c r="V275" s="561">
        <v>2.4E-2</v>
      </c>
      <c r="W275" s="561">
        <v>0.20599999999999999</v>
      </c>
      <c r="X275" s="561">
        <v>0.6</v>
      </c>
      <c r="Y275" s="125"/>
      <c r="Z275" s="130">
        <v>1.9</v>
      </c>
      <c r="AA275" s="125"/>
    </row>
    <row r="276" spans="2:27">
      <c r="B276" s="684" t="s">
        <v>379</v>
      </c>
      <c r="C276" s="557">
        <v>566.98500341756062</v>
      </c>
      <c r="D276" s="402"/>
      <c r="E276" s="560" t="s">
        <v>379</v>
      </c>
      <c r="F276" s="461">
        <v>0.43</v>
      </c>
      <c r="G276" s="529">
        <v>0.37</v>
      </c>
      <c r="H276" s="529">
        <v>0.46</v>
      </c>
      <c r="I276" s="529">
        <v>0</v>
      </c>
      <c r="J276" s="529">
        <v>0.08</v>
      </c>
      <c r="K276" s="529">
        <v>0.09</v>
      </c>
      <c r="L276" s="125" t="str">
        <f>M411</f>
        <v>Western_Asia</v>
      </c>
      <c r="M276" s="93"/>
      <c r="N276" s="562">
        <f t="shared" ref="N276:X276" si="89">N411</f>
        <v>0.42199999999999999</v>
      </c>
      <c r="O276" s="562">
        <f t="shared" si="89"/>
        <v>3.2000000000000001E-2</v>
      </c>
      <c r="P276" s="562">
        <f t="shared" si="89"/>
        <v>0.153</v>
      </c>
      <c r="Q276" s="562">
        <f t="shared" si="89"/>
        <v>8.0000000000000002E-3</v>
      </c>
      <c r="R276" s="562">
        <f t="shared" si="89"/>
        <v>0.03</v>
      </c>
      <c r="S276" s="562">
        <f t="shared" si="89"/>
        <v>4.0000000000000001E-3</v>
      </c>
      <c r="T276" s="562">
        <f t="shared" si="89"/>
        <v>3.0000000000000001E-3</v>
      </c>
      <c r="U276" s="562">
        <f t="shared" si="89"/>
        <v>0.17199999999999999</v>
      </c>
      <c r="V276" s="562">
        <f t="shared" si="89"/>
        <v>2.5000000000000001E-2</v>
      </c>
      <c r="W276" s="562">
        <f t="shared" si="89"/>
        <v>3.4000000000000002E-2</v>
      </c>
      <c r="X276" s="562">
        <f t="shared" si="89"/>
        <v>0.11799999999999999</v>
      </c>
      <c r="Y276" s="125" t="s">
        <v>653</v>
      </c>
      <c r="Z276" s="130">
        <v>6.8</v>
      </c>
      <c r="AA276" s="125"/>
    </row>
    <row r="277" spans="2:27">
      <c r="B277" s="684" t="s">
        <v>406</v>
      </c>
      <c r="C277" s="557">
        <v>0</v>
      </c>
      <c r="D277" s="402"/>
      <c r="E277" s="560" t="s">
        <v>406</v>
      </c>
      <c r="F277" s="461">
        <v>0.18</v>
      </c>
      <c r="G277" s="93"/>
      <c r="H277" s="93"/>
      <c r="I277" s="93"/>
      <c r="J277" s="93"/>
      <c r="K277" s="93"/>
      <c r="L277" s="125" t="str">
        <f>M407</f>
        <v>Southern_Africa</v>
      </c>
      <c r="M277" s="93"/>
      <c r="N277" s="562">
        <f t="shared" ref="N277:X277" si="90">N407</f>
        <v>0.24</v>
      </c>
      <c r="O277" s="562">
        <f t="shared" si="90"/>
        <v>0</v>
      </c>
      <c r="P277" s="562">
        <f t="shared" si="90"/>
        <v>0.14499999999999999</v>
      </c>
      <c r="Q277" s="562">
        <f t="shared" si="90"/>
        <v>0</v>
      </c>
      <c r="R277" s="562">
        <f t="shared" si="90"/>
        <v>5.5E-2</v>
      </c>
      <c r="S277" s="562">
        <f t="shared" si="90"/>
        <v>0</v>
      </c>
      <c r="T277" s="562">
        <f t="shared" si="90"/>
        <v>0</v>
      </c>
      <c r="U277" s="562">
        <f t="shared" si="90"/>
        <v>0.26500000000000001</v>
      </c>
      <c r="V277" s="562">
        <f t="shared" si="90"/>
        <v>6.5000000000000002E-2</v>
      </c>
      <c r="W277" s="562">
        <f t="shared" si="90"/>
        <v>0.09</v>
      </c>
      <c r="X277" s="562">
        <f t="shared" si="90"/>
        <v>0.14000000000000001</v>
      </c>
      <c r="Y277" s="125" t="s">
        <v>653</v>
      </c>
      <c r="Z277" s="130">
        <v>2.2000000000000002</v>
      </c>
      <c r="AA277" s="125"/>
    </row>
    <row r="278" spans="2:27">
      <c r="B278" s="684" t="s">
        <v>602</v>
      </c>
      <c r="C278" s="557">
        <v>373.91313303397692</v>
      </c>
      <c r="D278" s="402" t="s">
        <v>653</v>
      </c>
      <c r="E278" s="130"/>
      <c r="F278" s="564">
        <f>F410</f>
        <v>0.18</v>
      </c>
      <c r="G278" s="558"/>
      <c r="H278" s="558"/>
      <c r="I278" s="558"/>
      <c r="J278" s="558"/>
      <c r="K278" s="558"/>
      <c r="L278" s="380" t="str">
        <f>M410</f>
        <v>Western_Africa</v>
      </c>
      <c r="M278" s="558"/>
      <c r="N278" s="562">
        <f>N410</f>
        <v>0.53900000000000003</v>
      </c>
      <c r="O278" s="562">
        <f t="shared" ref="O278:X278" si="91">O410</f>
        <v>0</v>
      </c>
      <c r="P278" s="562">
        <f t="shared" si="91"/>
        <v>7.4999999999999997E-2</v>
      </c>
      <c r="Q278" s="562">
        <f t="shared" si="91"/>
        <v>0</v>
      </c>
      <c r="R278" s="562">
        <f t="shared" si="91"/>
        <v>1.9E-2</v>
      </c>
      <c r="S278" s="562">
        <f t="shared" si="91"/>
        <v>0</v>
      </c>
      <c r="T278" s="562">
        <f t="shared" si="91"/>
        <v>0</v>
      </c>
      <c r="U278" s="562">
        <f t="shared" si="91"/>
        <v>6.4000000000000001E-2</v>
      </c>
      <c r="V278" s="562">
        <f t="shared" si="91"/>
        <v>2.7E-2</v>
      </c>
      <c r="W278" s="562">
        <f t="shared" si="91"/>
        <v>1.2999999999999999E-2</v>
      </c>
      <c r="X278" s="562">
        <f t="shared" si="91"/>
        <v>0.26500000000000001</v>
      </c>
      <c r="Y278" s="125" t="s">
        <v>653</v>
      </c>
      <c r="Z278" s="130">
        <v>5.2</v>
      </c>
      <c r="AA278" s="125"/>
    </row>
    <row r="279" spans="2:27">
      <c r="B279" s="684" t="s">
        <v>311</v>
      </c>
      <c r="C279" s="557">
        <v>493.33625699416393</v>
      </c>
      <c r="D279" s="402" t="s">
        <v>653</v>
      </c>
      <c r="E279" s="130"/>
      <c r="F279" s="564">
        <f>F400</f>
        <v>0.41</v>
      </c>
      <c r="G279" s="558"/>
      <c r="H279" s="558"/>
      <c r="I279" s="558"/>
      <c r="J279" s="558"/>
      <c r="K279" s="558"/>
      <c r="L279" s="125" t="str">
        <f>M400</f>
        <v>Northern_Africa</v>
      </c>
      <c r="M279" s="130" t="s">
        <v>311</v>
      </c>
      <c r="N279" s="561">
        <v>0.36299999999999999</v>
      </c>
      <c r="O279" s="561">
        <v>0</v>
      </c>
      <c r="P279" s="561">
        <v>0.153</v>
      </c>
      <c r="Q279" s="561">
        <v>0</v>
      </c>
      <c r="R279" s="561">
        <v>0.115</v>
      </c>
      <c r="S279" s="561">
        <v>0</v>
      </c>
      <c r="T279" s="561">
        <v>0</v>
      </c>
      <c r="U279" s="561">
        <v>0.186</v>
      </c>
      <c r="V279" s="561">
        <v>6.7000000000000004E-2</v>
      </c>
      <c r="W279" s="561">
        <v>3.5000000000000003E-2</v>
      </c>
      <c r="X279" s="561">
        <v>0.08</v>
      </c>
      <c r="Y279" s="125"/>
      <c r="Z279" s="130">
        <v>7</v>
      </c>
      <c r="AA279" s="125"/>
    </row>
    <row r="280" spans="2:27">
      <c r="B280" s="684" t="s">
        <v>603</v>
      </c>
      <c r="C280" s="557">
        <v>52.10260049692787</v>
      </c>
      <c r="D280" s="402" t="s">
        <v>653</v>
      </c>
      <c r="E280" s="130"/>
      <c r="F280" s="564">
        <f>F412</f>
        <v>0.59</v>
      </c>
      <c r="G280" s="558"/>
      <c r="H280" s="558"/>
      <c r="I280" s="558"/>
      <c r="J280" s="558"/>
      <c r="K280" s="558"/>
      <c r="L280" s="380" t="str">
        <f>M412</f>
        <v>Western_Europe</v>
      </c>
      <c r="M280" s="566"/>
      <c r="N280" s="562">
        <f>N412</f>
        <v>0.33200000000000002</v>
      </c>
      <c r="O280" s="562">
        <f t="shared" ref="O280:X280" si="92">O412</f>
        <v>2.7E-2</v>
      </c>
      <c r="P280" s="562">
        <f t="shared" si="92"/>
        <v>0.17199999999999999</v>
      </c>
      <c r="Q280" s="562">
        <f t="shared" si="92"/>
        <v>2.3E-2</v>
      </c>
      <c r="R280" s="562">
        <f t="shared" si="92"/>
        <v>5.8999999999999997E-2</v>
      </c>
      <c r="S280" s="562">
        <f t="shared" si="92"/>
        <v>0.03</v>
      </c>
      <c r="T280" s="562">
        <f t="shared" si="92"/>
        <v>0</v>
      </c>
      <c r="U280" s="562">
        <f t="shared" si="92"/>
        <v>0.20499999999999999</v>
      </c>
      <c r="V280" s="562">
        <f t="shared" si="92"/>
        <v>1.4999999999999999E-2</v>
      </c>
      <c r="W280" s="562">
        <f t="shared" si="92"/>
        <v>1.4E-2</v>
      </c>
      <c r="X280" s="562">
        <f t="shared" si="92"/>
        <v>0.123</v>
      </c>
      <c r="Y280" s="125" t="s">
        <v>653</v>
      </c>
      <c r="Z280" s="130">
        <v>0.04</v>
      </c>
      <c r="AA280" s="125"/>
    </row>
    <row r="281" spans="2:27">
      <c r="B281" s="684" t="s">
        <v>336</v>
      </c>
      <c r="C281" s="557">
        <v>101.8441227431646</v>
      </c>
      <c r="D281" s="402"/>
      <c r="E281" s="130" t="s">
        <v>336</v>
      </c>
      <c r="F281" s="461">
        <v>0.4</v>
      </c>
      <c r="G281" s="529">
        <v>0</v>
      </c>
      <c r="H281" s="529">
        <v>0.86</v>
      </c>
      <c r="I281" s="529">
        <v>0</v>
      </c>
      <c r="J281" s="529">
        <v>0.02</v>
      </c>
      <c r="K281" s="529">
        <v>0.12</v>
      </c>
      <c r="L281" s="125" t="str">
        <f>M402</f>
        <v>Northern_Europe</v>
      </c>
      <c r="M281" s="93" t="s">
        <v>336</v>
      </c>
      <c r="N281" s="561">
        <v>0.255</v>
      </c>
      <c r="O281" s="561">
        <v>0</v>
      </c>
      <c r="P281" s="561">
        <v>5.7000000000000002E-2</v>
      </c>
      <c r="Q281" s="561">
        <v>1.2E-2</v>
      </c>
      <c r="R281" s="561">
        <v>7.1999999999999995E-2</v>
      </c>
      <c r="S281" s="561">
        <v>0</v>
      </c>
      <c r="T281" s="561">
        <v>0</v>
      </c>
      <c r="U281" s="561">
        <v>0</v>
      </c>
      <c r="V281" s="561">
        <v>0</v>
      </c>
      <c r="W281" s="561">
        <v>0</v>
      </c>
      <c r="X281" s="561">
        <v>0.60399999999999998</v>
      </c>
      <c r="Y281" s="125"/>
      <c r="Z281" s="130">
        <v>2.8</v>
      </c>
      <c r="AA281" s="125"/>
    </row>
    <row r="282" spans="2:27">
      <c r="B282" s="684" t="s">
        <v>429</v>
      </c>
      <c r="C282" s="557">
        <v>95.040592324606507</v>
      </c>
      <c r="D282" s="402"/>
      <c r="E282" s="130" t="s">
        <v>429</v>
      </c>
      <c r="F282" s="461">
        <v>0.68</v>
      </c>
      <c r="G282" s="529">
        <v>0</v>
      </c>
      <c r="H282" s="529">
        <v>0.18</v>
      </c>
      <c r="I282" s="529">
        <v>0.36</v>
      </c>
      <c r="J282" s="529">
        <v>0.19</v>
      </c>
      <c r="K282" s="529">
        <v>0.27</v>
      </c>
      <c r="L282" s="125" t="str">
        <f>M412</f>
        <v>Western_Europe</v>
      </c>
      <c r="M282" s="130" t="s">
        <v>349</v>
      </c>
      <c r="N282" s="561">
        <v>0.45500000000000002</v>
      </c>
      <c r="O282" s="561">
        <v>0.05</v>
      </c>
      <c r="P282" s="561">
        <v>8.8999999999999996E-2</v>
      </c>
      <c r="Q282" s="561">
        <v>0.05</v>
      </c>
      <c r="R282" s="561">
        <v>0.01</v>
      </c>
      <c r="S282" s="561">
        <v>0.05</v>
      </c>
      <c r="T282" s="561">
        <v>0</v>
      </c>
      <c r="U282" s="561">
        <v>0.29699999999999999</v>
      </c>
      <c r="V282" s="561">
        <v>0</v>
      </c>
      <c r="W282" s="561">
        <v>0</v>
      </c>
      <c r="X282" s="561">
        <v>0</v>
      </c>
      <c r="Y282" s="125"/>
      <c r="Z282" s="130">
        <v>0.6</v>
      </c>
      <c r="AA282" s="125"/>
    </row>
    <row r="283" spans="2:27">
      <c r="B283" s="684" t="s">
        <v>391</v>
      </c>
      <c r="C283" s="557">
        <v>567.41092286541254</v>
      </c>
      <c r="D283" s="402"/>
      <c r="E283" s="560" t="s">
        <v>391</v>
      </c>
      <c r="F283" s="461">
        <v>0.28999999999999998</v>
      </c>
      <c r="G283" s="529">
        <v>0.96</v>
      </c>
      <c r="H283" s="529">
        <v>0</v>
      </c>
      <c r="I283" s="529">
        <v>0</v>
      </c>
      <c r="J283" s="529">
        <v>0.04</v>
      </c>
      <c r="K283" s="529">
        <v>0</v>
      </c>
      <c r="L283" s="125" t="str">
        <f>M395</f>
        <v>Eastern_Africa</v>
      </c>
      <c r="M283" s="130"/>
      <c r="N283" s="562">
        <f t="shared" ref="N283:X283" si="93">N395</f>
        <v>0.44400000000000001</v>
      </c>
      <c r="O283" s="562">
        <f t="shared" si="93"/>
        <v>6.9000000000000006E-2</v>
      </c>
      <c r="P283" s="562">
        <f t="shared" si="93"/>
        <v>0.104</v>
      </c>
      <c r="Q283" s="562">
        <f t="shared" si="93"/>
        <v>5.0000000000000001E-3</v>
      </c>
      <c r="R283" s="562">
        <f t="shared" si="93"/>
        <v>0.03</v>
      </c>
      <c r="S283" s="562">
        <f t="shared" si="93"/>
        <v>0</v>
      </c>
      <c r="T283" s="562">
        <f t="shared" si="93"/>
        <v>4.0000000000000001E-3</v>
      </c>
      <c r="U283" s="562">
        <f t="shared" si="93"/>
        <v>0.08</v>
      </c>
      <c r="V283" s="562">
        <f t="shared" si="93"/>
        <v>2.5999999999999999E-2</v>
      </c>
      <c r="W283" s="562">
        <f t="shared" si="93"/>
        <v>2.1000000000000001E-2</v>
      </c>
      <c r="X283" s="562">
        <f t="shared" si="93"/>
        <v>0.217</v>
      </c>
      <c r="Y283" s="125" t="s">
        <v>653</v>
      </c>
      <c r="Z283" s="130">
        <v>28.4</v>
      </c>
      <c r="AA283" s="125"/>
    </row>
    <row r="284" spans="2:27">
      <c r="B284" s="684" t="s">
        <v>604</v>
      </c>
      <c r="C284" s="557">
        <v>368.66348192449874</v>
      </c>
      <c r="D284" s="402" t="s">
        <v>653</v>
      </c>
      <c r="E284" s="130"/>
      <c r="F284" s="564">
        <f>F409</f>
        <v>0.47</v>
      </c>
      <c r="G284" s="558"/>
      <c r="H284" s="558"/>
      <c r="I284" s="558"/>
      <c r="J284" s="558"/>
      <c r="K284" s="558"/>
      <c r="L284" s="380" t="str">
        <f>M409</f>
        <v>Southern_Europe</v>
      </c>
      <c r="M284" s="566"/>
      <c r="N284" s="562">
        <f>N409</f>
        <v>0.35799999999999998</v>
      </c>
      <c r="O284" s="562">
        <f t="shared" ref="O284:X284" si="94">O409</f>
        <v>1.4E-2</v>
      </c>
      <c r="P284" s="562">
        <f t="shared" si="94"/>
        <v>0.214</v>
      </c>
      <c r="Q284" s="562">
        <f t="shared" si="94"/>
        <v>1.2E-2</v>
      </c>
      <c r="R284" s="562">
        <f t="shared" si="94"/>
        <v>2.8000000000000001E-2</v>
      </c>
      <c r="S284" s="562">
        <f t="shared" si="94"/>
        <v>1.0999999999999999E-2</v>
      </c>
      <c r="T284" s="562">
        <f t="shared" si="94"/>
        <v>2E-3</v>
      </c>
      <c r="U284" s="562">
        <f t="shared" si="94"/>
        <v>0.14099999999999999</v>
      </c>
      <c r="V284" s="562">
        <f t="shared" si="94"/>
        <v>0.02</v>
      </c>
      <c r="W284" s="562">
        <f t="shared" si="94"/>
        <v>3.5000000000000003E-2</v>
      </c>
      <c r="X284" s="562">
        <f t="shared" si="94"/>
        <v>0.16700000000000001</v>
      </c>
      <c r="Y284" s="125" t="s">
        <v>653</v>
      </c>
      <c r="Z284" s="130"/>
      <c r="AA284" s="125"/>
    </row>
    <row r="285" spans="2:27">
      <c r="B285" s="684" t="s">
        <v>392</v>
      </c>
      <c r="C285" s="557">
        <v>242.73169367576958</v>
      </c>
      <c r="D285" s="402"/>
      <c r="E285" s="560" t="s">
        <v>392</v>
      </c>
      <c r="F285" s="461">
        <v>0.18</v>
      </c>
      <c r="G285" s="93"/>
      <c r="H285" s="93"/>
      <c r="I285" s="93"/>
      <c r="J285" s="93"/>
      <c r="K285" s="93"/>
      <c r="L285" s="125" t="str">
        <f>M395</f>
        <v>Eastern_Africa</v>
      </c>
      <c r="M285" s="130"/>
      <c r="N285" s="562">
        <f t="shared" ref="N285:X285" si="95">N395</f>
        <v>0.44400000000000001</v>
      </c>
      <c r="O285" s="562">
        <f t="shared" si="95"/>
        <v>6.9000000000000006E-2</v>
      </c>
      <c r="P285" s="562">
        <f t="shared" si="95"/>
        <v>0.104</v>
      </c>
      <c r="Q285" s="562">
        <f t="shared" si="95"/>
        <v>5.0000000000000001E-3</v>
      </c>
      <c r="R285" s="562">
        <f t="shared" si="95"/>
        <v>0.03</v>
      </c>
      <c r="S285" s="562">
        <f t="shared" si="95"/>
        <v>0</v>
      </c>
      <c r="T285" s="562">
        <f t="shared" si="95"/>
        <v>4.0000000000000001E-3</v>
      </c>
      <c r="U285" s="562">
        <f t="shared" si="95"/>
        <v>0.08</v>
      </c>
      <c r="V285" s="562">
        <f t="shared" si="95"/>
        <v>2.5999999999999999E-2</v>
      </c>
      <c r="W285" s="562">
        <f t="shared" si="95"/>
        <v>2.1000000000000001E-2</v>
      </c>
      <c r="X285" s="562">
        <f t="shared" si="95"/>
        <v>0.217</v>
      </c>
      <c r="Y285" s="125" t="s">
        <v>653</v>
      </c>
      <c r="Z285" s="130">
        <v>20.3</v>
      </c>
      <c r="AA285" s="125"/>
    </row>
    <row r="286" spans="2:27">
      <c r="B286" s="684" t="s">
        <v>293</v>
      </c>
      <c r="C286" s="557">
        <v>436.19213559667077</v>
      </c>
      <c r="D286" s="402"/>
      <c r="E286" s="560" t="s">
        <v>293</v>
      </c>
      <c r="F286" s="461">
        <v>0.55000000000000004</v>
      </c>
      <c r="G286" s="93"/>
      <c r="H286" s="93"/>
      <c r="I286" s="93"/>
      <c r="J286" s="93"/>
      <c r="K286" s="93"/>
      <c r="L286" s="125" t="str">
        <f>M406</f>
        <v>South_Eastern_Asia</v>
      </c>
      <c r="M286" s="130" t="s">
        <v>293</v>
      </c>
      <c r="N286" s="561">
        <v>0.32400000000000001</v>
      </c>
      <c r="O286" s="561">
        <v>0</v>
      </c>
      <c r="P286" s="561">
        <v>0.2</v>
      </c>
      <c r="Q286" s="561">
        <v>0</v>
      </c>
      <c r="R286" s="561">
        <v>0</v>
      </c>
      <c r="S286" s="561">
        <v>0</v>
      </c>
      <c r="T286" s="561">
        <v>0</v>
      </c>
      <c r="U286" s="561">
        <v>9.8000000000000004E-2</v>
      </c>
      <c r="V286" s="561">
        <v>2.5000000000000001E-2</v>
      </c>
      <c r="W286" s="561">
        <v>3.3000000000000002E-2</v>
      </c>
      <c r="X286" s="561">
        <v>0.32</v>
      </c>
      <c r="Y286" s="125"/>
      <c r="Z286" s="130">
        <v>32.799999999999997</v>
      </c>
      <c r="AA286" s="125"/>
    </row>
    <row r="287" spans="2:27">
      <c r="B287" s="684" t="s">
        <v>372</v>
      </c>
      <c r="C287" s="557">
        <v>524.46028262705113</v>
      </c>
      <c r="D287" s="402"/>
      <c r="E287" s="560" t="s">
        <v>372</v>
      </c>
      <c r="F287" s="461">
        <v>0.91</v>
      </c>
      <c r="G287" s="93"/>
      <c r="H287" s="93"/>
      <c r="I287" s="93"/>
      <c r="J287" s="93"/>
      <c r="K287" s="93"/>
      <c r="L287" s="125" t="str">
        <f>M408</f>
        <v>Southern_Asia</v>
      </c>
      <c r="M287" s="158"/>
      <c r="N287" s="562">
        <f t="shared" ref="N287:X287" si="96">N408</f>
        <v>0.66100000000000003</v>
      </c>
      <c r="O287" s="562">
        <f t="shared" si="96"/>
        <v>0</v>
      </c>
      <c r="P287" s="562">
        <f t="shared" si="96"/>
        <v>9.1999999999999998E-2</v>
      </c>
      <c r="Q287" s="562">
        <f t="shared" si="96"/>
        <v>0</v>
      </c>
      <c r="R287" s="562">
        <f t="shared" si="96"/>
        <v>1.2E-2</v>
      </c>
      <c r="S287" s="562">
        <f t="shared" si="96"/>
        <v>0</v>
      </c>
      <c r="T287" s="562">
        <f t="shared" si="96"/>
        <v>4.0000000000000001E-3</v>
      </c>
      <c r="U287" s="562">
        <f t="shared" si="96"/>
        <v>7.0000000000000007E-2</v>
      </c>
      <c r="V287" s="562">
        <f t="shared" si="96"/>
        <v>8.9999999999999993E-3</v>
      </c>
      <c r="W287" s="562">
        <f t="shared" si="96"/>
        <v>1.4999999999999999E-2</v>
      </c>
      <c r="X287" s="562">
        <f t="shared" si="96"/>
        <v>0.13900000000000001</v>
      </c>
      <c r="Y287" s="125" t="s">
        <v>653</v>
      </c>
      <c r="Z287" s="130">
        <v>0.5</v>
      </c>
      <c r="AA287" s="125"/>
    </row>
    <row r="288" spans="2:27">
      <c r="B288" s="684" t="s">
        <v>321</v>
      </c>
      <c r="C288" s="557">
        <v>623.3716755063615</v>
      </c>
      <c r="D288" s="402"/>
      <c r="E288" s="130" t="s">
        <v>321</v>
      </c>
      <c r="F288" s="461">
        <v>0.24</v>
      </c>
      <c r="G288" s="93"/>
      <c r="H288" s="93"/>
      <c r="I288" s="93"/>
      <c r="J288" s="93"/>
      <c r="K288" s="93"/>
      <c r="L288" s="125" t="str">
        <f>M410</f>
        <v>Western_Africa</v>
      </c>
      <c r="M288" s="130" t="s">
        <v>321</v>
      </c>
      <c r="N288" s="561">
        <v>0.25</v>
      </c>
      <c r="O288" s="561">
        <v>0</v>
      </c>
      <c r="P288" s="561">
        <v>4.8000000000000001E-2</v>
      </c>
      <c r="Q288" s="561">
        <v>0</v>
      </c>
      <c r="R288" s="561">
        <v>0</v>
      </c>
      <c r="S288" s="561">
        <v>0</v>
      </c>
      <c r="T288" s="561">
        <v>0</v>
      </c>
      <c r="U288" s="561">
        <v>2.4E-2</v>
      </c>
      <c r="V288" s="561">
        <v>4.8000000000000001E-2</v>
      </c>
      <c r="W288" s="561">
        <v>1.2E-2</v>
      </c>
      <c r="X288" s="561">
        <v>0.61899999999999999</v>
      </c>
      <c r="Y288" s="125"/>
      <c r="Z288" s="130">
        <v>20.9</v>
      </c>
      <c r="AA288" s="125"/>
    </row>
    <row r="289" spans="2:27">
      <c r="B289" s="684" t="s">
        <v>424</v>
      </c>
      <c r="C289" s="557">
        <v>294.51240553406734</v>
      </c>
      <c r="D289" s="402"/>
      <c r="E289" s="130" t="s">
        <v>424</v>
      </c>
      <c r="F289" s="461">
        <v>0.6</v>
      </c>
      <c r="G289" s="529">
        <v>0</v>
      </c>
      <c r="H289" s="529">
        <v>0.91</v>
      </c>
      <c r="I289" s="529">
        <v>0</v>
      </c>
      <c r="J289" s="529">
        <v>0</v>
      </c>
      <c r="K289" s="529">
        <v>0.09</v>
      </c>
      <c r="L289" s="125" t="str">
        <f>M409</f>
        <v>Southern_Europe</v>
      </c>
      <c r="M289" s="130"/>
      <c r="N289" s="562">
        <f t="shared" ref="N289:X289" si="97">N409</f>
        <v>0.35799999999999998</v>
      </c>
      <c r="O289" s="562">
        <f t="shared" si="97"/>
        <v>1.4E-2</v>
      </c>
      <c r="P289" s="562">
        <f t="shared" si="97"/>
        <v>0.214</v>
      </c>
      <c r="Q289" s="562">
        <f t="shared" si="97"/>
        <v>1.2E-2</v>
      </c>
      <c r="R289" s="562">
        <f t="shared" si="97"/>
        <v>2.8000000000000001E-2</v>
      </c>
      <c r="S289" s="562">
        <f t="shared" si="97"/>
        <v>1.0999999999999999E-2</v>
      </c>
      <c r="T289" s="562">
        <f t="shared" si="97"/>
        <v>2E-3</v>
      </c>
      <c r="U289" s="562">
        <f t="shared" si="97"/>
        <v>0.14099999999999999</v>
      </c>
      <c r="V289" s="562">
        <f t="shared" si="97"/>
        <v>0.02</v>
      </c>
      <c r="W289" s="562">
        <f t="shared" si="97"/>
        <v>3.5000000000000003E-2</v>
      </c>
      <c r="X289" s="562">
        <f t="shared" si="97"/>
        <v>0.16700000000000001</v>
      </c>
      <c r="Y289" s="125" t="s">
        <v>653</v>
      </c>
      <c r="Z289" s="130">
        <v>0.5</v>
      </c>
      <c r="AA289" s="125"/>
    </row>
    <row r="290" spans="2:27">
      <c r="B290" s="684" t="s">
        <v>605</v>
      </c>
      <c r="C290" s="557">
        <v>560.92326136014526</v>
      </c>
      <c r="D290" s="402" t="s">
        <v>653</v>
      </c>
      <c r="E290" s="130"/>
      <c r="F290" s="564">
        <f>F403</f>
        <v>0.6</v>
      </c>
      <c r="G290" s="558"/>
      <c r="H290" s="558"/>
      <c r="I290" s="558"/>
      <c r="J290" s="558"/>
      <c r="K290" s="558"/>
      <c r="L290" s="380" t="str">
        <f>M403</f>
        <v>Oceania</v>
      </c>
      <c r="M290" s="566"/>
      <c r="N290" s="562">
        <f>N403</f>
        <v>0.25900000000000001</v>
      </c>
      <c r="O290" s="562">
        <f t="shared" ref="O290:X290" si="98">O403</f>
        <v>0.122</v>
      </c>
      <c r="P290" s="562">
        <f t="shared" si="98"/>
        <v>0.12</v>
      </c>
      <c r="Q290" s="562">
        <f t="shared" si="98"/>
        <v>6.5000000000000002E-2</v>
      </c>
      <c r="R290" s="562">
        <f t="shared" si="98"/>
        <v>2.9499999999999998E-2</v>
      </c>
      <c r="S290" s="562">
        <f t="shared" si="98"/>
        <v>3.5000000000000003E-2</v>
      </c>
      <c r="T290" s="562">
        <f t="shared" si="98"/>
        <v>0</v>
      </c>
      <c r="U290" s="562">
        <f t="shared" si="98"/>
        <v>8.3000000000000004E-2</v>
      </c>
      <c r="V290" s="562">
        <f t="shared" si="98"/>
        <v>1.7999999999999999E-2</v>
      </c>
      <c r="W290" s="562">
        <f t="shared" si="98"/>
        <v>2.8000000000000001E-2</v>
      </c>
      <c r="X290" s="562">
        <f t="shared" si="98"/>
        <v>0.24099999999999999</v>
      </c>
      <c r="Y290" s="125" t="s">
        <v>653</v>
      </c>
      <c r="Z290" s="130">
        <v>0.06</v>
      </c>
      <c r="AA290" s="125"/>
    </row>
    <row r="291" spans="2:27">
      <c r="B291" s="684" t="s">
        <v>606</v>
      </c>
      <c r="C291" s="557">
        <v>406.42868750288045</v>
      </c>
      <c r="D291" s="402" t="s">
        <v>653</v>
      </c>
      <c r="E291" s="130"/>
      <c r="F291" s="558">
        <f>F392</f>
        <v>0.78</v>
      </c>
      <c r="G291" s="93"/>
      <c r="H291" s="93"/>
      <c r="I291" s="93"/>
      <c r="J291" s="93"/>
      <c r="K291" s="93"/>
      <c r="L291" s="380" t="s">
        <v>661</v>
      </c>
      <c r="M291" s="130"/>
      <c r="N291" s="562">
        <f>N393</f>
        <v>0.627</v>
      </c>
      <c r="O291" s="562">
        <f t="shared" ref="O291:X291" si="99">O393</f>
        <v>0</v>
      </c>
      <c r="P291" s="562">
        <f t="shared" si="99"/>
        <v>0.126</v>
      </c>
      <c r="Q291" s="562">
        <f t="shared" si="99"/>
        <v>3.0000000000000001E-3</v>
      </c>
      <c r="R291" s="562">
        <f t="shared" si="99"/>
        <v>2.1999999999999999E-2</v>
      </c>
      <c r="S291" s="562">
        <f t="shared" si="99"/>
        <v>0</v>
      </c>
      <c r="T291" s="562">
        <f t="shared" si="99"/>
        <v>0</v>
      </c>
      <c r="U291" s="562">
        <f t="shared" si="99"/>
        <v>0.10299999999999999</v>
      </c>
      <c r="V291" s="562">
        <f t="shared" si="99"/>
        <v>2.7E-2</v>
      </c>
      <c r="W291" s="562">
        <f t="shared" si="99"/>
        <v>3.3000000000000002E-2</v>
      </c>
      <c r="X291" s="562">
        <f t="shared" si="99"/>
        <v>0.06</v>
      </c>
      <c r="Y291" s="125" t="s">
        <v>653</v>
      </c>
      <c r="Z291" s="130">
        <v>0.4</v>
      </c>
      <c r="AA291" s="125"/>
    </row>
    <row r="292" spans="2:27">
      <c r="B292" s="684" t="s">
        <v>414</v>
      </c>
      <c r="C292" s="557">
        <v>513.12073333186731</v>
      </c>
      <c r="D292" s="402"/>
      <c r="E292" s="130" t="s">
        <v>414</v>
      </c>
      <c r="F292" s="461">
        <v>0.18</v>
      </c>
      <c r="G292" s="93"/>
      <c r="H292" s="93"/>
      <c r="I292" s="93"/>
      <c r="J292" s="93"/>
      <c r="K292" s="93"/>
      <c r="L292" s="125" t="str">
        <f>M410</f>
        <v>Western_Africa</v>
      </c>
      <c r="M292" s="130"/>
      <c r="N292" s="562">
        <f t="shared" ref="N292:X292" si="100">N410</f>
        <v>0.53900000000000003</v>
      </c>
      <c r="O292" s="562">
        <f t="shared" si="100"/>
        <v>0</v>
      </c>
      <c r="P292" s="562">
        <f t="shared" si="100"/>
        <v>7.4999999999999997E-2</v>
      </c>
      <c r="Q292" s="562">
        <f t="shared" si="100"/>
        <v>0</v>
      </c>
      <c r="R292" s="562">
        <f t="shared" si="100"/>
        <v>1.9E-2</v>
      </c>
      <c r="S292" s="562">
        <f t="shared" si="100"/>
        <v>0</v>
      </c>
      <c r="T292" s="562">
        <f t="shared" si="100"/>
        <v>0</v>
      </c>
      <c r="U292" s="562">
        <f t="shared" si="100"/>
        <v>6.4000000000000001E-2</v>
      </c>
      <c r="V292" s="562">
        <f t="shared" si="100"/>
        <v>2.7E-2</v>
      </c>
      <c r="W292" s="562">
        <f t="shared" si="100"/>
        <v>1.2999999999999999E-2</v>
      </c>
      <c r="X292" s="562">
        <f t="shared" si="100"/>
        <v>0.26500000000000001</v>
      </c>
      <c r="Y292" s="125" t="s">
        <v>653</v>
      </c>
      <c r="Z292" s="130">
        <v>4</v>
      </c>
      <c r="AA292" s="125"/>
    </row>
    <row r="293" spans="2:27">
      <c r="B293" s="684" t="s">
        <v>314</v>
      </c>
      <c r="C293" s="557">
        <v>542.76295631382914</v>
      </c>
      <c r="D293" s="402"/>
      <c r="E293" s="560" t="s">
        <v>314</v>
      </c>
      <c r="F293" s="461">
        <v>0.31</v>
      </c>
      <c r="G293" s="529">
        <v>0.98</v>
      </c>
      <c r="H293" s="529">
        <v>0</v>
      </c>
      <c r="I293" s="529">
        <v>0</v>
      </c>
      <c r="J293" s="529">
        <v>0</v>
      </c>
      <c r="K293" s="529">
        <v>0.02</v>
      </c>
      <c r="L293" s="125" t="str">
        <f>M395</f>
        <v>Eastern_Africa</v>
      </c>
      <c r="M293" s="130" t="s">
        <v>314</v>
      </c>
      <c r="N293" s="561">
        <v>0.29399999999999998</v>
      </c>
      <c r="O293" s="561">
        <v>0.34699999999999998</v>
      </c>
      <c r="P293" s="561">
        <v>0.14099999999999999</v>
      </c>
      <c r="Q293" s="561">
        <v>0</v>
      </c>
      <c r="R293" s="561">
        <v>2.4E-2</v>
      </c>
      <c r="S293" s="561">
        <v>0</v>
      </c>
      <c r="T293" s="561">
        <v>0</v>
      </c>
      <c r="U293" s="561">
        <v>0.11700000000000001</v>
      </c>
      <c r="V293" s="561">
        <v>0.02</v>
      </c>
      <c r="W293" s="561">
        <v>1.2E-2</v>
      </c>
      <c r="X293" s="561">
        <v>4.3999999999999997E-2</v>
      </c>
      <c r="Y293" s="125"/>
      <c r="Z293" s="130">
        <v>1.3</v>
      </c>
      <c r="AA293" s="125"/>
    </row>
    <row r="294" spans="2:27">
      <c r="B294" s="684" t="s">
        <v>607</v>
      </c>
      <c r="C294" s="557">
        <v>511.98871954868207</v>
      </c>
      <c r="D294" s="402" t="s">
        <v>653</v>
      </c>
      <c r="E294" s="130"/>
      <c r="F294" s="567">
        <f>F395</f>
        <v>0.28999999999999998</v>
      </c>
      <c r="G294" s="558"/>
      <c r="H294" s="558"/>
      <c r="I294" s="558"/>
      <c r="J294" s="558"/>
      <c r="K294" s="558"/>
      <c r="L294" s="380" t="str">
        <f>M395</f>
        <v>Eastern_Africa</v>
      </c>
      <c r="M294" s="566"/>
      <c r="N294" s="562">
        <f>N395</f>
        <v>0.44400000000000001</v>
      </c>
      <c r="O294" s="562">
        <f t="shared" ref="O294:X294" si="101">O395</f>
        <v>6.9000000000000006E-2</v>
      </c>
      <c r="P294" s="562">
        <f t="shared" si="101"/>
        <v>0.104</v>
      </c>
      <c r="Q294" s="562">
        <f t="shared" si="101"/>
        <v>5.0000000000000001E-3</v>
      </c>
      <c r="R294" s="562">
        <f t="shared" si="101"/>
        <v>0.03</v>
      </c>
      <c r="S294" s="562">
        <f t="shared" si="101"/>
        <v>0</v>
      </c>
      <c r="T294" s="562">
        <f t="shared" si="101"/>
        <v>4.0000000000000001E-3</v>
      </c>
      <c r="U294" s="562">
        <f t="shared" si="101"/>
        <v>0.08</v>
      </c>
      <c r="V294" s="562">
        <f t="shared" si="101"/>
        <v>2.5999999999999999E-2</v>
      </c>
      <c r="W294" s="562">
        <f t="shared" si="101"/>
        <v>2.1000000000000001E-2</v>
      </c>
      <c r="X294" s="562">
        <f t="shared" si="101"/>
        <v>0.217</v>
      </c>
      <c r="Y294" s="125" t="s">
        <v>653</v>
      </c>
      <c r="Z294" s="130">
        <v>0.3</v>
      </c>
      <c r="AA294" s="125"/>
    </row>
    <row r="295" spans="2:27">
      <c r="B295" s="684" t="s">
        <v>353</v>
      </c>
      <c r="C295" s="557">
        <v>358.50447880300788</v>
      </c>
      <c r="D295" s="402"/>
      <c r="E295" s="130" t="s">
        <v>353</v>
      </c>
      <c r="F295" s="461">
        <v>0.34</v>
      </c>
      <c r="G295" s="529">
        <v>0</v>
      </c>
      <c r="H295" s="529">
        <v>0.96</v>
      </c>
      <c r="I295" s="529">
        <v>0</v>
      </c>
      <c r="J295" s="529">
        <v>0</v>
      </c>
      <c r="K295" s="529">
        <v>0.04</v>
      </c>
      <c r="L295" s="125" t="str">
        <f>M393</f>
        <v>Central_America</v>
      </c>
      <c r="M295" s="130" t="s">
        <v>353</v>
      </c>
      <c r="N295" s="561">
        <v>0.51400000000000001</v>
      </c>
      <c r="O295" s="561">
        <v>0</v>
      </c>
      <c r="P295" s="561">
        <v>0.13600000000000001</v>
      </c>
      <c r="Q295" s="561">
        <v>0</v>
      </c>
      <c r="R295" s="561">
        <v>1.4999999999999999E-2</v>
      </c>
      <c r="S295" s="561">
        <v>0</v>
      </c>
      <c r="T295" s="561">
        <v>0</v>
      </c>
      <c r="U295" s="561">
        <v>0.107</v>
      </c>
      <c r="V295" s="561">
        <v>5.0999999999999997E-2</v>
      </c>
      <c r="W295" s="561">
        <v>5.8000000000000003E-2</v>
      </c>
      <c r="X295" s="561">
        <v>0.12</v>
      </c>
      <c r="Y295" s="125"/>
      <c r="Z295" s="130">
        <v>128.80000000000001</v>
      </c>
      <c r="AA295" s="125"/>
    </row>
    <row r="296" spans="2:27">
      <c r="B296" s="684" t="s">
        <v>608</v>
      </c>
      <c r="C296" s="557">
        <v>556.6305887334513</v>
      </c>
      <c r="D296" s="402" t="s">
        <v>653</v>
      </c>
      <c r="E296" s="130"/>
      <c r="F296" s="564">
        <f>F403</f>
        <v>0.6</v>
      </c>
      <c r="G296" s="558"/>
      <c r="H296" s="558"/>
      <c r="I296" s="558"/>
      <c r="J296" s="558"/>
      <c r="K296" s="558"/>
      <c r="L296" s="380" t="str">
        <f>M403</f>
        <v>Oceania</v>
      </c>
      <c r="M296" s="566"/>
      <c r="N296" s="562">
        <f>N403</f>
        <v>0.25900000000000001</v>
      </c>
      <c r="O296" s="562">
        <f t="shared" ref="O296:X296" si="102">O403</f>
        <v>0.122</v>
      </c>
      <c r="P296" s="562">
        <f t="shared" si="102"/>
        <v>0.12</v>
      </c>
      <c r="Q296" s="562">
        <f t="shared" si="102"/>
        <v>6.5000000000000002E-2</v>
      </c>
      <c r="R296" s="562">
        <f t="shared" si="102"/>
        <v>2.9499999999999998E-2</v>
      </c>
      <c r="S296" s="562">
        <f t="shared" si="102"/>
        <v>3.5000000000000003E-2</v>
      </c>
      <c r="T296" s="562">
        <f t="shared" si="102"/>
        <v>0</v>
      </c>
      <c r="U296" s="562">
        <f t="shared" si="102"/>
        <v>8.3000000000000004E-2</v>
      </c>
      <c r="V296" s="562">
        <f t="shared" si="102"/>
        <v>1.7999999999999999E-2</v>
      </c>
      <c r="W296" s="562">
        <f t="shared" si="102"/>
        <v>2.8000000000000001E-2</v>
      </c>
      <c r="X296" s="562">
        <f t="shared" si="102"/>
        <v>0.24099999999999999</v>
      </c>
      <c r="Y296" s="125" t="s">
        <v>653</v>
      </c>
      <c r="Z296" s="130">
        <v>0.1</v>
      </c>
      <c r="AA296" s="125"/>
    </row>
    <row r="297" spans="2:27">
      <c r="B297" s="684" t="s">
        <v>609</v>
      </c>
      <c r="C297" s="557">
        <v>399.25864856099395</v>
      </c>
      <c r="D297" s="402" t="s">
        <v>653</v>
      </c>
      <c r="E297" s="130"/>
      <c r="F297" s="564">
        <f>F397</f>
        <v>0.37</v>
      </c>
      <c r="G297" s="558"/>
      <c r="H297" s="558"/>
      <c r="I297" s="558"/>
      <c r="J297" s="558"/>
      <c r="K297" s="558"/>
      <c r="L297" s="125" t="str">
        <f>M397</f>
        <v>Eastern_Europe</v>
      </c>
      <c r="M297" s="130" t="s">
        <v>327</v>
      </c>
      <c r="N297" s="561">
        <v>0.29199999999999998</v>
      </c>
      <c r="O297" s="561">
        <v>0</v>
      </c>
      <c r="P297" s="561">
        <v>0.10100000000000001</v>
      </c>
      <c r="Q297" s="561">
        <v>0</v>
      </c>
      <c r="R297" s="561">
        <v>1.6E-2</v>
      </c>
      <c r="S297" s="561">
        <v>0</v>
      </c>
      <c r="T297" s="561">
        <v>0</v>
      </c>
      <c r="U297" s="561">
        <v>0.128</v>
      </c>
      <c r="V297" s="561">
        <v>1.4999999999999999E-2</v>
      </c>
      <c r="W297" s="561">
        <v>5.7000000000000002E-2</v>
      </c>
      <c r="X297" s="561">
        <v>0.39</v>
      </c>
      <c r="Y297" s="125"/>
      <c r="Z297" s="130">
        <v>3.5</v>
      </c>
      <c r="AA297" s="125"/>
    </row>
    <row r="298" spans="2:27">
      <c r="B298" s="684" t="s">
        <v>610</v>
      </c>
      <c r="C298" s="557">
        <v>67.622730217810499</v>
      </c>
      <c r="D298" s="402" t="s">
        <v>653</v>
      </c>
      <c r="E298" s="130"/>
      <c r="F298" s="564">
        <f>F412</f>
        <v>0.59</v>
      </c>
      <c r="G298" s="558"/>
      <c r="H298" s="558"/>
      <c r="I298" s="558"/>
      <c r="J298" s="558"/>
      <c r="K298" s="558"/>
      <c r="L298" s="380" t="str">
        <f>M412</f>
        <v>Western_Europe</v>
      </c>
      <c r="M298" s="566"/>
      <c r="N298" s="562">
        <f>N412</f>
        <v>0.33200000000000002</v>
      </c>
      <c r="O298" s="562">
        <f t="shared" ref="O298:W298" si="103">O412</f>
        <v>2.7E-2</v>
      </c>
      <c r="P298" s="562">
        <f t="shared" si="103"/>
        <v>0.17199999999999999</v>
      </c>
      <c r="Q298" s="562">
        <f t="shared" si="103"/>
        <v>2.3E-2</v>
      </c>
      <c r="R298" s="562">
        <f t="shared" si="103"/>
        <v>5.8999999999999997E-2</v>
      </c>
      <c r="S298" s="562">
        <f t="shared" si="103"/>
        <v>0.03</v>
      </c>
      <c r="T298" s="562">
        <f t="shared" si="103"/>
        <v>0</v>
      </c>
      <c r="U298" s="562">
        <f t="shared" si="103"/>
        <v>0.20499999999999999</v>
      </c>
      <c r="V298" s="562">
        <f t="shared" si="103"/>
        <v>1.4999999999999999E-2</v>
      </c>
      <c r="W298" s="562">
        <f t="shared" si="103"/>
        <v>1.4E-2</v>
      </c>
      <c r="X298" s="562">
        <f>X412</f>
        <v>0.123</v>
      </c>
      <c r="Y298" s="125" t="s">
        <v>653</v>
      </c>
      <c r="Z298" s="130">
        <v>0.04</v>
      </c>
      <c r="AA298" s="125"/>
    </row>
    <row r="299" spans="2:27">
      <c r="B299" s="684" t="s">
        <v>288</v>
      </c>
      <c r="C299" s="557">
        <v>1001.951322531854</v>
      </c>
      <c r="D299" s="402"/>
      <c r="E299" s="560" t="s">
        <v>288</v>
      </c>
      <c r="F299" s="461">
        <v>0.24</v>
      </c>
      <c r="G299" s="93"/>
      <c r="H299" s="93"/>
      <c r="I299" s="93"/>
      <c r="J299" s="93"/>
      <c r="K299" s="93"/>
      <c r="L299" s="125" t="str">
        <f>M396</f>
        <v>Eastern_Asia</v>
      </c>
      <c r="M299" s="130" t="s">
        <v>288</v>
      </c>
      <c r="N299" s="561">
        <v>0.70799999999999996</v>
      </c>
      <c r="O299" s="561">
        <v>0</v>
      </c>
      <c r="P299" s="561">
        <v>4.2999999999999997E-2</v>
      </c>
      <c r="Q299" s="561">
        <v>0</v>
      </c>
      <c r="R299" s="561">
        <v>0</v>
      </c>
      <c r="S299" s="561">
        <v>0</v>
      </c>
      <c r="T299" s="561">
        <v>0</v>
      </c>
      <c r="U299" s="561">
        <v>3.7999999999999999E-2</v>
      </c>
      <c r="V299" s="561">
        <v>1E-3</v>
      </c>
      <c r="W299" s="561">
        <v>3.6999999999999998E-2</v>
      </c>
      <c r="X299" s="561">
        <v>0.17299999999999999</v>
      </c>
      <c r="Y299" s="125"/>
      <c r="Z299" s="130">
        <v>3.4</v>
      </c>
      <c r="AA299" s="125"/>
    </row>
    <row r="300" spans="2:27">
      <c r="B300" s="684" t="s">
        <v>425</v>
      </c>
      <c r="C300" s="557">
        <v>471.04345150526137</v>
      </c>
      <c r="D300" s="402"/>
      <c r="E300" s="130" t="s">
        <v>425</v>
      </c>
      <c r="F300" s="461">
        <v>0.54</v>
      </c>
      <c r="G300" s="529">
        <v>0</v>
      </c>
      <c r="H300" s="529">
        <v>0.88</v>
      </c>
      <c r="I300" s="529">
        <v>0</v>
      </c>
      <c r="J300" s="529">
        <v>0</v>
      </c>
      <c r="K300" s="529">
        <v>0.12</v>
      </c>
      <c r="L300" s="125" t="str">
        <f>M409</f>
        <v>Southern_Europe</v>
      </c>
      <c r="M300" s="130"/>
      <c r="N300" s="562">
        <f t="shared" ref="N300:X300" si="104">N409</f>
        <v>0.35799999999999998</v>
      </c>
      <c r="O300" s="562">
        <f t="shared" si="104"/>
        <v>1.4E-2</v>
      </c>
      <c r="P300" s="562">
        <f t="shared" si="104"/>
        <v>0.214</v>
      </c>
      <c r="Q300" s="562">
        <f t="shared" si="104"/>
        <v>1.2E-2</v>
      </c>
      <c r="R300" s="562">
        <f t="shared" si="104"/>
        <v>2.8000000000000001E-2</v>
      </c>
      <c r="S300" s="562">
        <f t="shared" si="104"/>
        <v>1.0999999999999999E-2</v>
      </c>
      <c r="T300" s="562">
        <f t="shared" si="104"/>
        <v>2E-3</v>
      </c>
      <c r="U300" s="562">
        <f t="shared" si="104"/>
        <v>0.14099999999999999</v>
      </c>
      <c r="V300" s="562">
        <f t="shared" si="104"/>
        <v>0.02</v>
      </c>
      <c r="W300" s="562">
        <f t="shared" si="104"/>
        <v>3.5000000000000003E-2</v>
      </c>
      <c r="X300" s="562">
        <f t="shared" si="104"/>
        <v>0.16700000000000001</v>
      </c>
      <c r="Y300" s="125" t="s">
        <v>653</v>
      </c>
      <c r="Z300" s="130">
        <v>0.6</v>
      </c>
      <c r="AA300" s="125"/>
    </row>
    <row r="301" spans="2:27">
      <c r="B301" s="684" t="s">
        <v>611</v>
      </c>
      <c r="C301" s="557">
        <v>516.98656568336264</v>
      </c>
      <c r="D301" s="402" t="s">
        <v>653</v>
      </c>
      <c r="E301" s="130"/>
      <c r="F301" s="558">
        <f>F392</f>
        <v>0.78</v>
      </c>
      <c r="G301" s="558"/>
      <c r="H301" s="558"/>
      <c r="I301" s="558"/>
      <c r="J301" s="558"/>
      <c r="K301" s="558"/>
      <c r="L301" s="380" t="s">
        <v>661</v>
      </c>
      <c r="M301" s="566"/>
      <c r="N301" s="562">
        <f>N393</f>
        <v>0.627</v>
      </c>
      <c r="O301" s="562">
        <f t="shared" ref="O301:X301" si="105">O393</f>
        <v>0</v>
      </c>
      <c r="P301" s="562">
        <f t="shared" si="105"/>
        <v>0.126</v>
      </c>
      <c r="Q301" s="562">
        <f t="shared" si="105"/>
        <v>3.0000000000000001E-3</v>
      </c>
      <c r="R301" s="562">
        <f t="shared" si="105"/>
        <v>2.1999999999999999E-2</v>
      </c>
      <c r="S301" s="562">
        <f t="shared" si="105"/>
        <v>0</v>
      </c>
      <c r="T301" s="562">
        <f t="shared" si="105"/>
        <v>0</v>
      </c>
      <c r="U301" s="562">
        <f t="shared" si="105"/>
        <v>0.10299999999999999</v>
      </c>
      <c r="V301" s="562">
        <f t="shared" si="105"/>
        <v>2.7E-2</v>
      </c>
      <c r="W301" s="562">
        <f t="shared" si="105"/>
        <v>3.3000000000000002E-2</v>
      </c>
      <c r="X301" s="562">
        <f t="shared" si="105"/>
        <v>0.06</v>
      </c>
      <c r="Y301" s="125" t="s">
        <v>653</v>
      </c>
      <c r="Z301" s="130"/>
      <c r="AA301" s="125"/>
    </row>
    <row r="302" spans="2:27">
      <c r="B302" s="684" t="s">
        <v>385</v>
      </c>
      <c r="C302" s="557">
        <v>546.8271146982047</v>
      </c>
      <c r="D302" s="402"/>
      <c r="E302" s="560" t="s">
        <v>385</v>
      </c>
      <c r="F302" s="461">
        <v>0.53</v>
      </c>
      <c r="G302" s="529">
        <v>0.95</v>
      </c>
      <c r="H302" s="529">
        <v>0.01</v>
      </c>
      <c r="I302" s="529">
        <v>0</v>
      </c>
      <c r="J302" s="529">
        <v>0</v>
      </c>
      <c r="K302" s="529">
        <v>0.04</v>
      </c>
      <c r="L302" s="125" t="str">
        <f>M400</f>
        <v>Northern_Africa</v>
      </c>
      <c r="M302" s="130"/>
      <c r="N302" s="562">
        <f t="shared" ref="N302:X302" si="106">N400</f>
        <v>0.504</v>
      </c>
      <c r="O302" s="562">
        <f t="shared" si="106"/>
        <v>0</v>
      </c>
      <c r="P302" s="562">
        <f t="shared" si="106"/>
        <v>0.121</v>
      </c>
      <c r="Q302" s="562">
        <f t="shared" si="106"/>
        <v>0</v>
      </c>
      <c r="R302" s="562">
        <f t="shared" si="106"/>
        <v>5.8000000000000003E-2</v>
      </c>
      <c r="S302" s="562">
        <f t="shared" si="106"/>
        <v>0</v>
      </c>
      <c r="T302" s="562">
        <f t="shared" si="106"/>
        <v>0</v>
      </c>
      <c r="U302" s="562">
        <f t="shared" si="106"/>
        <v>0.13800000000000001</v>
      </c>
      <c r="V302" s="562">
        <f t="shared" si="106"/>
        <v>4.3999999999999997E-2</v>
      </c>
      <c r="W302" s="562">
        <f t="shared" si="106"/>
        <v>3.3000000000000002E-2</v>
      </c>
      <c r="X302" s="562">
        <f t="shared" si="106"/>
        <v>0.105</v>
      </c>
      <c r="Y302" s="125" t="s">
        <v>653</v>
      </c>
      <c r="Z302" s="130">
        <v>36.299999999999997</v>
      </c>
      <c r="AA302" s="125"/>
    </row>
    <row r="303" spans="2:27">
      <c r="B303" s="684" t="s">
        <v>393</v>
      </c>
      <c r="C303" s="557">
        <v>110.7817145243435</v>
      </c>
      <c r="D303" s="402"/>
      <c r="E303" s="560" t="s">
        <v>393</v>
      </c>
      <c r="F303" s="461">
        <v>0.05</v>
      </c>
      <c r="G303" s="93"/>
      <c r="H303" s="93"/>
      <c r="I303" s="93"/>
      <c r="J303" s="93"/>
      <c r="K303" s="93"/>
      <c r="L303" s="125" t="str">
        <f>M395</f>
        <v>Eastern_Africa</v>
      </c>
      <c r="M303" s="130"/>
      <c r="N303" s="562">
        <f t="shared" ref="N303:X303" si="107">N395</f>
        <v>0.44400000000000001</v>
      </c>
      <c r="O303" s="562">
        <f t="shared" si="107"/>
        <v>6.9000000000000006E-2</v>
      </c>
      <c r="P303" s="562">
        <f t="shared" si="107"/>
        <v>0.104</v>
      </c>
      <c r="Q303" s="562">
        <f t="shared" si="107"/>
        <v>5.0000000000000001E-3</v>
      </c>
      <c r="R303" s="562">
        <f t="shared" si="107"/>
        <v>0.03</v>
      </c>
      <c r="S303" s="562">
        <f t="shared" si="107"/>
        <v>0</v>
      </c>
      <c r="T303" s="562">
        <f t="shared" si="107"/>
        <v>4.0000000000000001E-3</v>
      </c>
      <c r="U303" s="562">
        <f t="shared" si="107"/>
        <v>0.08</v>
      </c>
      <c r="V303" s="562">
        <f t="shared" si="107"/>
        <v>2.5999999999999999E-2</v>
      </c>
      <c r="W303" s="562">
        <f t="shared" si="107"/>
        <v>2.1000000000000001E-2</v>
      </c>
      <c r="X303" s="562">
        <f t="shared" si="107"/>
        <v>0.217</v>
      </c>
      <c r="Y303" s="125" t="s">
        <v>653</v>
      </c>
      <c r="Z303" s="130">
        <v>32</v>
      </c>
      <c r="AA303" s="125"/>
    </row>
    <row r="304" spans="2:27">
      <c r="B304" s="684" t="s">
        <v>294</v>
      </c>
      <c r="C304" s="557">
        <v>406.81016900032625</v>
      </c>
      <c r="D304" s="402"/>
      <c r="E304" s="130" t="s">
        <v>294</v>
      </c>
      <c r="F304" s="461">
        <v>0.16</v>
      </c>
      <c r="G304" s="93"/>
      <c r="H304" s="93"/>
      <c r="I304" s="93"/>
      <c r="J304" s="93"/>
      <c r="K304" s="93"/>
      <c r="L304" s="125" t="str">
        <f>M406</f>
        <v>South_Eastern_Asia</v>
      </c>
      <c r="M304" s="130" t="s">
        <v>294</v>
      </c>
      <c r="N304" s="561">
        <v>0.8</v>
      </c>
      <c r="O304" s="561"/>
      <c r="P304" s="561">
        <v>0.04</v>
      </c>
      <c r="Q304" s="561"/>
      <c r="R304" s="561"/>
      <c r="S304" s="561"/>
      <c r="T304" s="561"/>
      <c r="U304" s="561">
        <v>0.02</v>
      </c>
      <c r="V304" s="561"/>
      <c r="W304" s="561"/>
      <c r="X304" s="561">
        <v>0.14000000000000001</v>
      </c>
      <c r="Y304" s="125"/>
      <c r="Z304" s="130">
        <v>55.5</v>
      </c>
      <c r="AA304" s="125"/>
    </row>
    <row r="305" spans="2:27">
      <c r="B305" s="684" t="s">
        <v>407</v>
      </c>
      <c r="C305" s="557">
        <v>138.57700071594977</v>
      </c>
      <c r="D305" s="402"/>
      <c r="E305" s="560" t="s">
        <v>407</v>
      </c>
      <c r="F305" s="461">
        <v>0.18</v>
      </c>
      <c r="G305" s="93"/>
      <c r="H305" s="93"/>
      <c r="I305" s="93"/>
      <c r="J305" s="93"/>
      <c r="K305" s="93"/>
      <c r="L305" s="125" t="str">
        <f>M407</f>
        <v>Southern_Africa</v>
      </c>
      <c r="M305" s="130"/>
      <c r="N305" s="562">
        <f t="shared" ref="N305:X305" si="108">N407</f>
        <v>0.24</v>
      </c>
      <c r="O305" s="562">
        <f t="shared" si="108"/>
        <v>0</v>
      </c>
      <c r="P305" s="562">
        <f t="shared" si="108"/>
        <v>0.14499999999999999</v>
      </c>
      <c r="Q305" s="562">
        <f t="shared" si="108"/>
        <v>0</v>
      </c>
      <c r="R305" s="562">
        <f t="shared" si="108"/>
        <v>5.5E-2</v>
      </c>
      <c r="S305" s="562">
        <f t="shared" si="108"/>
        <v>0</v>
      </c>
      <c r="T305" s="562">
        <f t="shared" si="108"/>
        <v>0</v>
      </c>
      <c r="U305" s="562">
        <f t="shared" si="108"/>
        <v>0.26500000000000001</v>
      </c>
      <c r="V305" s="562">
        <f t="shared" si="108"/>
        <v>6.5000000000000002E-2</v>
      </c>
      <c r="W305" s="562">
        <f t="shared" si="108"/>
        <v>0.09</v>
      </c>
      <c r="X305" s="562">
        <f t="shared" si="108"/>
        <v>0.14000000000000001</v>
      </c>
      <c r="Y305" s="125" t="s">
        <v>653</v>
      </c>
      <c r="Z305" s="130">
        <v>2.6</v>
      </c>
      <c r="AA305" s="125"/>
    </row>
    <row r="306" spans="2:27">
      <c r="B306" s="684" t="s">
        <v>612</v>
      </c>
      <c r="C306" s="557">
        <v>520.69892127579135</v>
      </c>
      <c r="D306" s="402" t="s">
        <v>653</v>
      </c>
      <c r="E306" s="130"/>
      <c r="F306" s="564">
        <f>F403</f>
        <v>0.6</v>
      </c>
      <c r="G306" s="558"/>
      <c r="H306" s="558"/>
      <c r="I306" s="558"/>
      <c r="J306" s="558"/>
      <c r="K306" s="558"/>
      <c r="L306" s="380" t="str">
        <f>M403</f>
        <v>Oceania</v>
      </c>
      <c r="M306" s="566"/>
      <c r="N306" s="562">
        <f>N403</f>
        <v>0.25900000000000001</v>
      </c>
      <c r="O306" s="562">
        <f t="shared" ref="O306:X306" si="109">O403</f>
        <v>0.122</v>
      </c>
      <c r="P306" s="562">
        <f t="shared" si="109"/>
        <v>0.12</v>
      </c>
      <c r="Q306" s="562">
        <f t="shared" si="109"/>
        <v>6.5000000000000002E-2</v>
      </c>
      <c r="R306" s="562">
        <f t="shared" si="109"/>
        <v>2.9499999999999998E-2</v>
      </c>
      <c r="S306" s="562">
        <f t="shared" si="109"/>
        <v>3.5000000000000003E-2</v>
      </c>
      <c r="T306" s="562">
        <f t="shared" si="109"/>
        <v>0</v>
      </c>
      <c r="U306" s="562">
        <f t="shared" si="109"/>
        <v>8.3000000000000004E-2</v>
      </c>
      <c r="V306" s="562">
        <f t="shared" si="109"/>
        <v>1.7999999999999999E-2</v>
      </c>
      <c r="W306" s="562">
        <f t="shared" si="109"/>
        <v>2.8000000000000001E-2</v>
      </c>
      <c r="X306" s="562">
        <f t="shared" si="109"/>
        <v>0.24099999999999999</v>
      </c>
      <c r="Y306" s="125" t="s">
        <v>653</v>
      </c>
      <c r="Z306" s="130">
        <v>0.01</v>
      </c>
      <c r="AA306" s="125"/>
    </row>
    <row r="307" spans="2:27">
      <c r="B307" s="684" t="s">
        <v>301</v>
      </c>
      <c r="C307" s="557">
        <v>6.6276843991052159E-3</v>
      </c>
      <c r="D307" s="402"/>
      <c r="E307" s="560" t="s">
        <v>301</v>
      </c>
      <c r="F307" s="461">
        <v>0.04</v>
      </c>
      <c r="G307" s="93"/>
      <c r="H307" s="93"/>
      <c r="I307" s="93"/>
      <c r="J307" s="93"/>
      <c r="K307" s="93"/>
      <c r="L307" s="568" t="str">
        <f>M408</f>
        <v>Southern_Asia</v>
      </c>
      <c r="M307" s="130" t="s">
        <v>301</v>
      </c>
      <c r="N307" s="561">
        <v>0.8</v>
      </c>
      <c r="O307" s="561">
        <v>0</v>
      </c>
      <c r="P307" s="561">
        <v>7.0000000000000007E-2</v>
      </c>
      <c r="Q307" s="561">
        <v>0</v>
      </c>
      <c r="R307" s="561">
        <v>0</v>
      </c>
      <c r="S307" s="561">
        <v>0</v>
      </c>
      <c r="T307" s="561">
        <v>0</v>
      </c>
      <c r="U307" s="561">
        <v>2.5000000000000001E-2</v>
      </c>
      <c r="V307" s="561">
        <v>5.0000000000000001E-3</v>
      </c>
      <c r="W307" s="561">
        <v>0.03</v>
      </c>
      <c r="X307" s="561">
        <v>7.0000000000000007E-2</v>
      </c>
      <c r="Y307" s="125"/>
      <c r="Z307" s="130">
        <v>30.4</v>
      </c>
      <c r="AA307" s="125"/>
    </row>
    <row r="308" spans="2:27">
      <c r="B308" s="684" t="s">
        <v>350</v>
      </c>
      <c r="C308" s="557">
        <v>202.9021450113807</v>
      </c>
      <c r="D308" s="402"/>
      <c r="E308" s="130" t="s">
        <v>350</v>
      </c>
      <c r="F308" s="461">
        <v>0.56999999999999995</v>
      </c>
      <c r="G308" s="529">
        <v>0</v>
      </c>
      <c r="H308" s="529">
        <v>0.02</v>
      </c>
      <c r="I308" s="529">
        <v>0.49</v>
      </c>
      <c r="J308" s="529">
        <v>0.24</v>
      </c>
      <c r="K308" s="529">
        <v>0.25</v>
      </c>
      <c r="L308" s="125" t="str">
        <f>M412</f>
        <v>Western_Europe</v>
      </c>
      <c r="M308" s="130" t="s">
        <v>350</v>
      </c>
      <c r="N308" s="561">
        <v>0.35</v>
      </c>
      <c r="O308" s="561">
        <v>0</v>
      </c>
      <c r="P308" s="561">
        <v>0.26</v>
      </c>
      <c r="Q308" s="561">
        <v>0</v>
      </c>
      <c r="R308" s="561">
        <v>0</v>
      </c>
      <c r="S308" s="561">
        <v>0</v>
      </c>
      <c r="T308" s="561">
        <v>0</v>
      </c>
      <c r="U308" s="561">
        <v>0.19</v>
      </c>
      <c r="V308" s="561">
        <v>0.04</v>
      </c>
      <c r="W308" s="561">
        <v>0.04</v>
      </c>
      <c r="X308" s="561">
        <v>0.12</v>
      </c>
      <c r="Y308" s="125"/>
      <c r="Z308" s="130">
        <v>17.5</v>
      </c>
      <c r="AA308" s="125"/>
    </row>
    <row r="309" spans="2:27">
      <c r="B309" s="684" t="s">
        <v>613</v>
      </c>
      <c r="C309" s="557">
        <v>445.34111591181664</v>
      </c>
      <c r="D309" s="402" t="s">
        <v>653</v>
      </c>
      <c r="E309" s="130"/>
      <c r="F309" s="564">
        <f>F403</f>
        <v>0.6</v>
      </c>
      <c r="G309" s="558"/>
      <c r="H309" s="558"/>
      <c r="I309" s="558"/>
      <c r="J309" s="558"/>
      <c r="K309" s="558"/>
      <c r="L309" s="380" t="str">
        <f>M403</f>
        <v>Oceania</v>
      </c>
      <c r="M309" s="566"/>
      <c r="N309" s="562">
        <f>N403</f>
        <v>0.25900000000000001</v>
      </c>
      <c r="O309" s="562">
        <f t="shared" ref="O309:X309" si="110">O403</f>
        <v>0.122</v>
      </c>
      <c r="P309" s="562">
        <f t="shared" si="110"/>
        <v>0.12</v>
      </c>
      <c r="Q309" s="562">
        <f t="shared" si="110"/>
        <v>6.5000000000000002E-2</v>
      </c>
      <c r="R309" s="562">
        <f t="shared" si="110"/>
        <v>2.9499999999999998E-2</v>
      </c>
      <c r="S309" s="562">
        <f t="shared" si="110"/>
        <v>3.5000000000000003E-2</v>
      </c>
      <c r="T309" s="562">
        <f t="shared" si="110"/>
        <v>0</v>
      </c>
      <c r="U309" s="562">
        <f t="shared" si="110"/>
        <v>8.3000000000000004E-2</v>
      </c>
      <c r="V309" s="562">
        <f t="shared" si="110"/>
        <v>1.7999999999999999E-2</v>
      </c>
      <c r="W309" s="562">
        <f t="shared" si="110"/>
        <v>2.8000000000000001E-2</v>
      </c>
      <c r="X309" s="562">
        <f t="shared" si="110"/>
        <v>0.24099999999999999</v>
      </c>
      <c r="Y309" s="125" t="s">
        <v>653</v>
      </c>
      <c r="Z309" s="130">
        <v>0.3</v>
      </c>
      <c r="AA309" s="125"/>
    </row>
    <row r="310" spans="2:27">
      <c r="B310" s="684" t="s">
        <v>361</v>
      </c>
      <c r="C310" s="557">
        <v>107.55764507409098</v>
      </c>
      <c r="D310" s="402"/>
      <c r="E310" s="130" t="s">
        <v>361</v>
      </c>
      <c r="F310" s="461">
        <v>0.57999999999999996</v>
      </c>
      <c r="G310" s="529">
        <v>0</v>
      </c>
      <c r="H310" s="529">
        <v>0.85</v>
      </c>
      <c r="I310" s="529">
        <v>0</v>
      </c>
      <c r="J310" s="529">
        <v>0</v>
      </c>
      <c r="K310" s="529">
        <v>0.15</v>
      </c>
      <c r="L310" s="125" t="str">
        <f>M403</f>
        <v>Oceania</v>
      </c>
      <c r="M310" s="130" t="s">
        <v>361</v>
      </c>
      <c r="N310" s="561">
        <v>0.16800000000000001</v>
      </c>
      <c r="O310" s="561">
        <v>7.9000000000000001E-2</v>
      </c>
      <c r="P310" s="561">
        <v>0.109</v>
      </c>
      <c r="Q310" s="561">
        <v>0.11899999999999999</v>
      </c>
      <c r="R310" s="561">
        <v>5.8999999999999997E-2</v>
      </c>
      <c r="S310" s="561">
        <v>0.03</v>
      </c>
      <c r="T310" s="561">
        <v>0</v>
      </c>
      <c r="U310" s="561">
        <v>0</v>
      </c>
      <c r="V310" s="561">
        <v>0</v>
      </c>
      <c r="W310" s="561">
        <v>0</v>
      </c>
      <c r="X310" s="561">
        <v>0.436</v>
      </c>
      <c r="Y310" s="125"/>
      <c r="Z310" s="130">
        <v>5.0999999999999996</v>
      </c>
      <c r="AA310" s="125"/>
    </row>
    <row r="311" spans="2:27">
      <c r="B311" s="684" t="s">
        <v>354</v>
      </c>
      <c r="C311" s="557">
        <v>371.97235053851921</v>
      </c>
      <c r="D311" s="402"/>
      <c r="E311" s="560" t="s">
        <v>354</v>
      </c>
      <c r="F311" s="461">
        <v>0.4</v>
      </c>
      <c r="G311" s="529">
        <v>0.34</v>
      </c>
      <c r="H311" s="529">
        <v>0.28000000000000003</v>
      </c>
      <c r="I311" s="529">
        <v>0</v>
      </c>
      <c r="J311" s="529">
        <v>0</v>
      </c>
      <c r="K311" s="529">
        <v>0.38</v>
      </c>
      <c r="L311" s="125" t="str">
        <f>M393</f>
        <v>Central_America</v>
      </c>
      <c r="M311" s="130" t="s">
        <v>354</v>
      </c>
      <c r="N311" s="561">
        <v>0.748</v>
      </c>
      <c r="O311" s="561">
        <v>0</v>
      </c>
      <c r="P311" s="561">
        <v>9.0999999999999998E-2</v>
      </c>
      <c r="Q311" s="561">
        <v>0</v>
      </c>
      <c r="R311" s="561">
        <v>0</v>
      </c>
      <c r="S311" s="561">
        <v>0</v>
      </c>
      <c r="T311" s="561">
        <v>0</v>
      </c>
      <c r="U311" s="561">
        <v>8.1000000000000003E-2</v>
      </c>
      <c r="V311" s="561">
        <v>0.01</v>
      </c>
      <c r="W311" s="561">
        <v>0.01</v>
      </c>
      <c r="X311" s="561">
        <v>6.0999999999999999E-2</v>
      </c>
      <c r="Y311" s="125"/>
      <c r="Z311" s="130">
        <v>6.7</v>
      </c>
      <c r="AA311" s="125"/>
    </row>
    <row r="312" spans="2:27">
      <c r="B312" s="684" t="s">
        <v>415</v>
      </c>
      <c r="C312" s="557">
        <v>717.89801320725928</v>
      </c>
      <c r="D312" s="402"/>
      <c r="E312" s="130" t="s">
        <v>415</v>
      </c>
      <c r="F312" s="461">
        <v>0.18</v>
      </c>
      <c r="G312" s="529">
        <v>0</v>
      </c>
      <c r="H312" s="529">
        <v>0.64</v>
      </c>
      <c r="I312" s="529">
        <v>0</v>
      </c>
      <c r="J312" s="529">
        <v>0</v>
      </c>
      <c r="K312" s="529">
        <v>0.36</v>
      </c>
      <c r="L312" s="125" t="str">
        <f>M410</f>
        <v>Western_Africa</v>
      </c>
      <c r="M312" s="130"/>
      <c r="N312" s="562">
        <f t="shared" ref="N312:X312" si="111">N410</f>
        <v>0.53900000000000003</v>
      </c>
      <c r="O312" s="562">
        <f t="shared" si="111"/>
        <v>0</v>
      </c>
      <c r="P312" s="562">
        <f t="shared" si="111"/>
        <v>7.4999999999999997E-2</v>
      </c>
      <c r="Q312" s="562">
        <f t="shared" si="111"/>
        <v>0</v>
      </c>
      <c r="R312" s="562">
        <f t="shared" si="111"/>
        <v>1.9E-2</v>
      </c>
      <c r="S312" s="562">
        <f t="shared" si="111"/>
        <v>0</v>
      </c>
      <c r="T312" s="562">
        <f t="shared" si="111"/>
        <v>0</v>
      </c>
      <c r="U312" s="562">
        <f t="shared" si="111"/>
        <v>6.4000000000000001E-2</v>
      </c>
      <c r="V312" s="562">
        <f t="shared" si="111"/>
        <v>2.7E-2</v>
      </c>
      <c r="W312" s="562">
        <f t="shared" si="111"/>
        <v>1.2999999999999999E-2</v>
      </c>
      <c r="X312" s="562">
        <f t="shared" si="111"/>
        <v>0.26500000000000001</v>
      </c>
      <c r="Y312" s="125" t="s">
        <v>653</v>
      </c>
      <c r="Z312" s="130">
        <v>25.1</v>
      </c>
      <c r="AA312" s="125"/>
    </row>
    <row r="313" spans="2:27">
      <c r="B313" s="684" t="s">
        <v>322</v>
      </c>
      <c r="C313" s="557">
        <v>357.59576603758683</v>
      </c>
      <c r="D313" s="402"/>
      <c r="E313" s="560" t="s">
        <v>322</v>
      </c>
      <c r="F313" s="461">
        <v>0.2</v>
      </c>
      <c r="G313" s="93"/>
      <c r="H313" s="93"/>
      <c r="I313" s="93"/>
      <c r="J313" s="93"/>
      <c r="K313" s="93"/>
      <c r="L313" s="125" t="str">
        <f>M410</f>
        <v>Western_Africa</v>
      </c>
      <c r="M313" s="130" t="s">
        <v>322</v>
      </c>
      <c r="N313" s="561">
        <v>0.63600000000000001</v>
      </c>
      <c r="O313" s="561">
        <v>0</v>
      </c>
      <c r="P313" s="561">
        <v>9.7000000000000003E-2</v>
      </c>
      <c r="Q313" s="561">
        <v>0</v>
      </c>
      <c r="R313" s="561">
        <v>1.6E-2</v>
      </c>
      <c r="S313" s="561">
        <v>0</v>
      </c>
      <c r="T313" s="561">
        <v>0</v>
      </c>
      <c r="U313" s="561">
        <v>8.6999999999999994E-2</v>
      </c>
      <c r="V313" s="561">
        <v>3.2000000000000001E-2</v>
      </c>
      <c r="W313" s="561">
        <v>2.5999999999999999E-2</v>
      </c>
      <c r="X313" s="561">
        <v>0.106</v>
      </c>
      <c r="Y313" s="125"/>
      <c r="Z313" s="130">
        <v>211.4</v>
      </c>
      <c r="AA313" s="125"/>
    </row>
    <row r="314" spans="2:27">
      <c r="B314" s="684" t="s">
        <v>614</v>
      </c>
      <c r="C314" s="557">
        <v>458.84793344512082</v>
      </c>
      <c r="D314" s="402" t="s">
        <v>653</v>
      </c>
      <c r="E314" s="130"/>
      <c r="F314" s="564">
        <f>F403</f>
        <v>0.6</v>
      </c>
      <c r="G314" s="558"/>
      <c r="H314" s="558"/>
      <c r="I314" s="558"/>
      <c r="J314" s="558"/>
      <c r="K314" s="558"/>
      <c r="L314" s="380" t="str">
        <f>M403</f>
        <v>Oceania</v>
      </c>
      <c r="M314" s="566"/>
      <c r="N314" s="562">
        <f>N403</f>
        <v>0.25900000000000001</v>
      </c>
      <c r="O314" s="562">
        <f t="shared" ref="O314:X314" si="112">O403</f>
        <v>0.122</v>
      </c>
      <c r="P314" s="562">
        <f t="shared" si="112"/>
        <v>0.12</v>
      </c>
      <c r="Q314" s="562">
        <f t="shared" si="112"/>
        <v>6.5000000000000002E-2</v>
      </c>
      <c r="R314" s="562">
        <f t="shared" si="112"/>
        <v>2.9499999999999998E-2</v>
      </c>
      <c r="S314" s="562">
        <f t="shared" si="112"/>
        <v>3.5000000000000003E-2</v>
      </c>
      <c r="T314" s="562">
        <f t="shared" si="112"/>
        <v>0</v>
      </c>
      <c r="U314" s="562">
        <f t="shared" si="112"/>
        <v>8.3000000000000004E-2</v>
      </c>
      <c r="V314" s="562">
        <f t="shared" si="112"/>
        <v>1.7999999999999999E-2</v>
      </c>
      <c r="W314" s="562">
        <f t="shared" si="112"/>
        <v>2.8000000000000001E-2</v>
      </c>
      <c r="X314" s="562">
        <f t="shared" si="112"/>
        <v>0.24099999999999999</v>
      </c>
      <c r="Y314" s="125" t="s">
        <v>653</v>
      </c>
      <c r="Z314" s="130">
        <v>2.1</v>
      </c>
      <c r="AA314" s="125"/>
    </row>
    <row r="315" spans="2:27">
      <c r="B315" s="684" t="s">
        <v>615</v>
      </c>
      <c r="C315" s="557">
        <v>562.84600575398872</v>
      </c>
      <c r="D315" s="402"/>
      <c r="E315" s="130" t="s">
        <v>426</v>
      </c>
      <c r="F315" s="461">
        <v>0.35</v>
      </c>
      <c r="G315" s="529">
        <v>0</v>
      </c>
      <c r="H315" s="529">
        <v>1</v>
      </c>
      <c r="I315" s="529">
        <v>0</v>
      </c>
      <c r="J315" s="529">
        <v>0</v>
      </c>
      <c r="K315" s="529">
        <v>0</v>
      </c>
      <c r="L315" s="125" t="str">
        <f>M409</f>
        <v>Southern_Europe</v>
      </c>
      <c r="M315" s="130"/>
      <c r="N315" s="562">
        <f t="shared" ref="N315:X315" si="113">N409</f>
        <v>0.35799999999999998</v>
      </c>
      <c r="O315" s="562">
        <f t="shared" si="113"/>
        <v>1.4E-2</v>
      </c>
      <c r="P315" s="562">
        <f t="shared" si="113"/>
        <v>0.214</v>
      </c>
      <c r="Q315" s="562">
        <f t="shared" si="113"/>
        <v>1.2E-2</v>
      </c>
      <c r="R315" s="562">
        <f t="shared" si="113"/>
        <v>2.8000000000000001E-2</v>
      </c>
      <c r="S315" s="562">
        <f t="shared" si="113"/>
        <v>1.0999999999999999E-2</v>
      </c>
      <c r="T315" s="562">
        <f t="shared" si="113"/>
        <v>2E-3</v>
      </c>
      <c r="U315" s="562">
        <f t="shared" si="113"/>
        <v>0.14099999999999999</v>
      </c>
      <c r="V315" s="562">
        <f t="shared" si="113"/>
        <v>0.02</v>
      </c>
      <c r="W315" s="562">
        <f t="shared" si="113"/>
        <v>3.5000000000000003E-2</v>
      </c>
      <c r="X315" s="562">
        <f t="shared" si="113"/>
        <v>0.16700000000000001</v>
      </c>
      <c r="Y315" s="125" t="s">
        <v>653</v>
      </c>
      <c r="Z315" s="130"/>
      <c r="AA315" s="125"/>
    </row>
    <row r="316" spans="2:27">
      <c r="B316" s="684" t="s">
        <v>616</v>
      </c>
      <c r="C316" s="557">
        <v>416.24593132459222</v>
      </c>
      <c r="D316" s="402" t="s">
        <v>653</v>
      </c>
      <c r="E316" s="130"/>
      <c r="F316" s="564">
        <f>F403</f>
        <v>0.6</v>
      </c>
      <c r="G316" s="558"/>
      <c r="H316" s="558"/>
      <c r="I316" s="558"/>
      <c r="J316" s="558"/>
      <c r="K316" s="558"/>
      <c r="L316" s="380" t="str">
        <f>M403</f>
        <v>Oceania</v>
      </c>
      <c r="M316" s="566"/>
      <c r="N316" s="562">
        <f>N403</f>
        <v>0.25900000000000001</v>
      </c>
      <c r="O316" s="562">
        <f t="shared" ref="O316:X316" si="114">O403</f>
        <v>0.122</v>
      </c>
      <c r="P316" s="562">
        <f t="shared" si="114"/>
        <v>0.12</v>
      </c>
      <c r="Q316" s="562">
        <f t="shared" si="114"/>
        <v>6.5000000000000002E-2</v>
      </c>
      <c r="R316" s="562">
        <f t="shared" si="114"/>
        <v>2.9499999999999998E-2</v>
      </c>
      <c r="S316" s="562">
        <f t="shared" si="114"/>
        <v>3.5000000000000003E-2</v>
      </c>
      <c r="T316" s="562">
        <f t="shared" si="114"/>
        <v>0</v>
      </c>
      <c r="U316" s="562">
        <f t="shared" si="114"/>
        <v>8.3000000000000004E-2</v>
      </c>
      <c r="V316" s="562">
        <f t="shared" si="114"/>
        <v>1.7999999999999999E-2</v>
      </c>
      <c r="W316" s="562">
        <f t="shared" si="114"/>
        <v>2.8000000000000001E-2</v>
      </c>
      <c r="X316" s="562">
        <f t="shared" si="114"/>
        <v>0.24099999999999999</v>
      </c>
      <c r="Y316" s="125" t="s">
        <v>653</v>
      </c>
      <c r="Z316" s="130"/>
      <c r="AA316" s="125"/>
    </row>
    <row r="317" spans="2:27">
      <c r="B317" s="684" t="s">
        <v>421</v>
      </c>
      <c r="C317" s="557">
        <v>16.926232606405133</v>
      </c>
      <c r="D317" s="402"/>
      <c r="E317" s="130" t="s">
        <v>421</v>
      </c>
      <c r="F317" s="461">
        <v>0.47</v>
      </c>
      <c r="G317" s="529">
        <v>0</v>
      </c>
      <c r="H317" s="529">
        <v>0.06</v>
      </c>
      <c r="I317" s="529">
        <v>0.5</v>
      </c>
      <c r="J317" s="529">
        <v>0.16</v>
      </c>
      <c r="K317" s="529">
        <v>0.28000000000000003</v>
      </c>
      <c r="L317" s="125" t="str">
        <f>M402</f>
        <v>Northern_Europe</v>
      </c>
      <c r="M317" s="130"/>
      <c r="N317" s="562">
        <f>N402</f>
        <v>0.30299999999999999</v>
      </c>
      <c r="O317" s="562">
        <f t="shared" ref="O317:X317" si="115">O402</f>
        <v>5.1999999999999998E-2</v>
      </c>
      <c r="P317" s="562">
        <f t="shared" si="115"/>
        <v>0.13800000000000001</v>
      </c>
      <c r="Q317" s="562">
        <f t="shared" si="115"/>
        <v>1.7999999999999999E-2</v>
      </c>
      <c r="R317" s="562">
        <f t="shared" si="115"/>
        <v>3.2000000000000001E-2</v>
      </c>
      <c r="S317" s="562">
        <f t="shared" si="115"/>
        <v>1.2E-2</v>
      </c>
      <c r="T317" s="562">
        <f t="shared" si="115"/>
        <v>0</v>
      </c>
      <c r="U317" s="562">
        <f t="shared" si="115"/>
        <v>4.9000000000000002E-2</v>
      </c>
      <c r="V317" s="562">
        <f t="shared" si="115"/>
        <v>1.4E-2</v>
      </c>
      <c r="W317" s="562">
        <f t="shared" si="115"/>
        <v>4.2999999999999997E-2</v>
      </c>
      <c r="X317" s="562">
        <f t="shared" si="115"/>
        <v>0.34</v>
      </c>
      <c r="Y317" s="125" t="s">
        <v>653</v>
      </c>
      <c r="Z317" s="130">
        <v>5.4</v>
      </c>
      <c r="AA317" s="125"/>
    </row>
    <row r="318" spans="2:27">
      <c r="B318" s="684" t="s">
        <v>306</v>
      </c>
      <c r="C318" s="557">
        <v>319.62029301215279</v>
      </c>
      <c r="D318" s="402"/>
      <c r="E318" s="560" t="s">
        <v>306</v>
      </c>
      <c r="F318" s="461">
        <v>0.26</v>
      </c>
      <c r="G318" s="93"/>
      <c r="H318" s="93"/>
      <c r="I318" s="93"/>
      <c r="J318" s="93"/>
      <c r="K318" s="93"/>
      <c r="L318" s="125" t="str">
        <f>M411</f>
        <v>Western_Asia</v>
      </c>
      <c r="M318" s="130" t="s">
        <v>306</v>
      </c>
      <c r="N318" s="561">
        <v>8.2000000000000003E-2</v>
      </c>
      <c r="O318" s="561">
        <v>6.0999999999999999E-2</v>
      </c>
      <c r="P318" s="561">
        <v>0.19400000000000001</v>
      </c>
      <c r="Q318" s="561">
        <v>1.4E-2</v>
      </c>
      <c r="R318" s="561">
        <v>0.14299999999999999</v>
      </c>
      <c r="S318" s="561">
        <v>0</v>
      </c>
      <c r="T318" s="561">
        <v>0</v>
      </c>
      <c r="U318" s="561">
        <v>0.313</v>
      </c>
      <c r="V318" s="561">
        <v>2.5999999999999999E-2</v>
      </c>
      <c r="W318" s="561">
        <v>2.9000000000000001E-2</v>
      </c>
      <c r="X318" s="561">
        <v>0.13800000000000001</v>
      </c>
      <c r="Y318" s="125"/>
      <c r="Z318" s="130">
        <v>4.5</v>
      </c>
      <c r="AA318" s="125"/>
    </row>
    <row r="319" spans="2:27">
      <c r="B319" s="684" t="s">
        <v>373</v>
      </c>
      <c r="C319" s="557">
        <v>385.58443628385584</v>
      </c>
      <c r="D319" s="402"/>
      <c r="E319" s="560" t="s">
        <v>373</v>
      </c>
      <c r="F319" s="461">
        <v>0.31</v>
      </c>
      <c r="G319" s="93"/>
      <c r="H319" s="93"/>
      <c r="I319" s="93"/>
      <c r="J319" s="93"/>
      <c r="K319" s="93"/>
      <c r="L319" s="125" t="str">
        <f>M408</f>
        <v>Southern_Asia</v>
      </c>
      <c r="M319" s="130"/>
      <c r="N319" s="562">
        <f t="shared" ref="N319:X319" si="116">N408</f>
        <v>0.66100000000000003</v>
      </c>
      <c r="O319" s="562">
        <f t="shared" si="116"/>
        <v>0</v>
      </c>
      <c r="P319" s="562">
        <f t="shared" si="116"/>
        <v>9.1999999999999998E-2</v>
      </c>
      <c r="Q319" s="562">
        <f t="shared" si="116"/>
        <v>0</v>
      </c>
      <c r="R319" s="562">
        <f t="shared" si="116"/>
        <v>1.2E-2</v>
      </c>
      <c r="S319" s="562">
        <f t="shared" si="116"/>
        <v>0</v>
      </c>
      <c r="T319" s="562">
        <f t="shared" si="116"/>
        <v>4.0000000000000001E-3</v>
      </c>
      <c r="U319" s="562">
        <f t="shared" si="116"/>
        <v>7.0000000000000007E-2</v>
      </c>
      <c r="V319" s="562">
        <f t="shared" si="116"/>
        <v>8.9999999999999993E-3</v>
      </c>
      <c r="W319" s="562">
        <f t="shared" si="116"/>
        <v>1.4999999999999999E-2</v>
      </c>
      <c r="X319" s="562">
        <f t="shared" si="116"/>
        <v>0.13900000000000001</v>
      </c>
      <c r="Y319" s="125" t="s">
        <v>653</v>
      </c>
      <c r="Z319" s="130">
        <v>225.4</v>
      </c>
      <c r="AA319" s="125"/>
    </row>
    <row r="320" spans="2:27">
      <c r="B320" s="684" t="s">
        <v>617</v>
      </c>
      <c r="C320" s="557">
        <v>497.19494202756118</v>
      </c>
      <c r="D320" s="402" t="s">
        <v>653</v>
      </c>
      <c r="E320" s="130"/>
      <c r="F320" s="564">
        <f>F403</f>
        <v>0.6</v>
      </c>
      <c r="G320" s="558"/>
      <c r="H320" s="558"/>
      <c r="I320" s="558"/>
      <c r="J320" s="558"/>
      <c r="K320" s="558"/>
      <c r="L320" s="380" t="str">
        <f>M403</f>
        <v>Oceania</v>
      </c>
      <c r="M320" s="566"/>
      <c r="N320" s="562">
        <f>N403</f>
        <v>0.25900000000000001</v>
      </c>
      <c r="O320" s="562">
        <f t="shared" ref="O320:X320" si="117">O403</f>
        <v>0.122</v>
      </c>
      <c r="P320" s="562">
        <f t="shared" si="117"/>
        <v>0.12</v>
      </c>
      <c r="Q320" s="562">
        <f t="shared" si="117"/>
        <v>6.5000000000000002E-2</v>
      </c>
      <c r="R320" s="562">
        <f t="shared" si="117"/>
        <v>2.9499999999999998E-2</v>
      </c>
      <c r="S320" s="562">
        <f t="shared" si="117"/>
        <v>3.5000000000000003E-2</v>
      </c>
      <c r="T320" s="562">
        <f t="shared" si="117"/>
        <v>0</v>
      </c>
      <c r="U320" s="562">
        <f t="shared" si="117"/>
        <v>8.3000000000000004E-2</v>
      </c>
      <c r="V320" s="562">
        <f t="shared" si="117"/>
        <v>1.7999999999999999E-2</v>
      </c>
      <c r="W320" s="562">
        <f t="shared" si="117"/>
        <v>2.8000000000000001E-2</v>
      </c>
      <c r="X320" s="562">
        <f t="shared" si="117"/>
        <v>0.24099999999999999</v>
      </c>
      <c r="Y320" s="125" t="s">
        <v>653</v>
      </c>
      <c r="Z320" s="130">
        <v>0.02</v>
      </c>
      <c r="AA320" s="125"/>
    </row>
    <row r="321" spans="2:27">
      <c r="B321" s="684" t="s">
        <v>618</v>
      </c>
      <c r="C321" s="557">
        <v>516.82063307465376</v>
      </c>
      <c r="D321" s="402"/>
      <c r="E321" s="560" t="s">
        <v>381</v>
      </c>
      <c r="F321" s="461">
        <v>0.38</v>
      </c>
      <c r="G321" s="529">
        <v>0</v>
      </c>
      <c r="H321" s="529">
        <v>0.28999999999999998</v>
      </c>
      <c r="I321" s="529">
        <v>0.69</v>
      </c>
      <c r="J321" s="529">
        <v>0</v>
      </c>
      <c r="K321" s="529">
        <v>0.02</v>
      </c>
      <c r="L321" s="125" t="str">
        <f>M411</f>
        <v>Western_Asia</v>
      </c>
      <c r="M321" s="130" t="s">
        <v>308</v>
      </c>
      <c r="N321" s="561">
        <v>0.56599999999999995</v>
      </c>
      <c r="O321" s="561">
        <v>0</v>
      </c>
      <c r="P321" s="561">
        <v>7.2999999999999995E-2</v>
      </c>
      <c r="Q321" s="561">
        <v>0</v>
      </c>
      <c r="R321" s="561">
        <v>0</v>
      </c>
      <c r="S321" s="561">
        <v>0</v>
      </c>
      <c r="T321" s="561">
        <v>0</v>
      </c>
      <c r="U321" s="561">
        <v>0.14000000000000001</v>
      </c>
      <c r="V321" s="561">
        <v>2.4E-2</v>
      </c>
      <c r="W321" s="561">
        <v>0.02</v>
      </c>
      <c r="X321" s="561">
        <v>0.17699999999999999</v>
      </c>
      <c r="Y321" s="125"/>
      <c r="Z321" s="130">
        <v>5.2</v>
      </c>
      <c r="AA321" s="125"/>
    </row>
    <row r="322" spans="2:27">
      <c r="B322" s="684" t="s">
        <v>451</v>
      </c>
      <c r="C322" s="557">
        <v>230.33956010958133</v>
      </c>
      <c r="D322" s="402"/>
      <c r="E322" s="560" t="s">
        <v>451</v>
      </c>
      <c r="F322" s="461">
        <v>0.44</v>
      </c>
      <c r="G322" s="529">
        <v>0.2</v>
      </c>
      <c r="H322" s="529">
        <v>0.56000000000000005</v>
      </c>
      <c r="I322" s="529">
        <v>0</v>
      </c>
      <c r="J322" s="529">
        <v>0</v>
      </c>
      <c r="K322" s="529">
        <v>0.24</v>
      </c>
      <c r="L322" s="125" t="str">
        <f>M393</f>
        <v>Central_America</v>
      </c>
      <c r="M322" s="130"/>
      <c r="N322" s="562">
        <f t="shared" ref="N322:X322" si="118">N393</f>
        <v>0.627</v>
      </c>
      <c r="O322" s="562">
        <f t="shared" si="118"/>
        <v>0</v>
      </c>
      <c r="P322" s="562">
        <f t="shared" si="118"/>
        <v>0.126</v>
      </c>
      <c r="Q322" s="562">
        <f t="shared" si="118"/>
        <v>3.0000000000000001E-3</v>
      </c>
      <c r="R322" s="562">
        <f t="shared" si="118"/>
        <v>2.1999999999999999E-2</v>
      </c>
      <c r="S322" s="562">
        <f t="shared" si="118"/>
        <v>0</v>
      </c>
      <c r="T322" s="562">
        <f t="shared" si="118"/>
        <v>0</v>
      </c>
      <c r="U322" s="562">
        <f t="shared" si="118"/>
        <v>0.10299999999999999</v>
      </c>
      <c r="V322" s="562">
        <f t="shared" si="118"/>
        <v>2.7E-2</v>
      </c>
      <c r="W322" s="562">
        <f t="shared" si="118"/>
        <v>3.3000000000000002E-2</v>
      </c>
      <c r="X322" s="562">
        <f t="shared" si="118"/>
        <v>0.06</v>
      </c>
      <c r="Y322" s="125" t="s">
        <v>653</v>
      </c>
      <c r="Z322" s="130">
        <v>4.4000000000000004</v>
      </c>
      <c r="AA322" s="125"/>
    </row>
    <row r="323" spans="2:27">
      <c r="B323" s="684" t="s">
        <v>619</v>
      </c>
      <c r="C323" s="557">
        <v>315.140709986773</v>
      </c>
      <c r="D323" s="402" t="s">
        <v>653</v>
      </c>
      <c r="E323" s="130"/>
      <c r="F323" s="564">
        <f>F403</f>
        <v>0.6</v>
      </c>
      <c r="G323" s="558"/>
      <c r="H323" s="558"/>
      <c r="I323" s="558"/>
      <c r="J323" s="558"/>
      <c r="K323" s="558"/>
      <c r="L323" s="380" t="str">
        <f>M403</f>
        <v>Oceania</v>
      </c>
      <c r="M323" s="566"/>
      <c r="N323" s="562">
        <f>N403</f>
        <v>0.25900000000000001</v>
      </c>
      <c r="O323" s="562">
        <f t="shared" ref="O323:X323" si="119">O403</f>
        <v>0.122</v>
      </c>
      <c r="P323" s="562">
        <f t="shared" si="119"/>
        <v>0.12</v>
      </c>
      <c r="Q323" s="562">
        <f t="shared" si="119"/>
        <v>6.5000000000000002E-2</v>
      </c>
      <c r="R323" s="562">
        <f t="shared" si="119"/>
        <v>2.9499999999999998E-2</v>
      </c>
      <c r="S323" s="562">
        <f t="shared" si="119"/>
        <v>3.5000000000000003E-2</v>
      </c>
      <c r="T323" s="562">
        <f t="shared" si="119"/>
        <v>0</v>
      </c>
      <c r="U323" s="562">
        <f t="shared" si="119"/>
        <v>8.3000000000000004E-2</v>
      </c>
      <c r="V323" s="562">
        <f t="shared" si="119"/>
        <v>1.7999999999999999E-2</v>
      </c>
      <c r="W323" s="562">
        <f t="shared" si="119"/>
        <v>2.8000000000000001E-2</v>
      </c>
      <c r="X323" s="562">
        <f t="shared" si="119"/>
        <v>0.24099999999999999</v>
      </c>
      <c r="Y323" s="125" t="s">
        <v>653</v>
      </c>
      <c r="Z323" s="130">
        <v>9.1</v>
      </c>
      <c r="AA323" s="125"/>
    </row>
    <row r="324" spans="2:27">
      <c r="B324" s="684" t="s">
        <v>458</v>
      </c>
      <c r="C324" s="557">
        <v>1.4536672318183019E-2</v>
      </c>
      <c r="D324" s="402"/>
      <c r="E324" s="560" t="s">
        <v>458</v>
      </c>
      <c r="F324" s="461">
        <v>0.08</v>
      </c>
      <c r="G324" s="529">
        <v>0.42</v>
      </c>
      <c r="H324" s="529">
        <v>0.44</v>
      </c>
      <c r="I324" s="529">
        <v>0</v>
      </c>
      <c r="J324" s="529">
        <v>0</v>
      </c>
      <c r="K324" s="529">
        <v>0.14000000000000001</v>
      </c>
      <c r="L324" s="125" t="str">
        <f>M405</f>
        <v>South_America</v>
      </c>
      <c r="M324" s="130"/>
      <c r="N324" s="562">
        <f t="shared" ref="N324:X324" si="120">N405</f>
        <v>0.54100000000000004</v>
      </c>
      <c r="O324" s="562">
        <f t="shared" si="120"/>
        <v>3.3000000000000002E-2</v>
      </c>
      <c r="P324" s="562">
        <f t="shared" si="120"/>
        <v>0.124</v>
      </c>
      <c r="Q324" s="562">
        <f t="shared" si="120"/>
        <v>0</v>
      </c>
      <c r="R324" s="562">
        <f t="shared" si="120"/>
        <v>1.7000000000000001E-2</v>
      </c>
      <c r="S324" s="562">
        <f t="shared" si="120"/>
        <v>1.9E-2</v>
      </c>
      <c r="T324" s="562">
        <f t="shared" si="120"/>
        <v>6.0000000000000001E-3</v>
      </c>
      <c r="U324" s="562">
        <f t="shared" si="120"/>
        <v>0.13700000000000001</v>
      </c>
      <c r="V324" s="562">
        <f t="shared" si="120"/>
        <v>0.02</v>
      </c>
      <c r="W324" s="562">
        <f t="shared" si="120"/>
        <v>0.03</v>
      </c>
      <c r="X324" s="562">
        <f t="shared" si="120"/>
        <v>7.1999999999999995E-2</v>
      </c>
      <c r="Y324" s="125" t="s">
        <v>653</v>
      </c>
      <c r="Z324" s="130">
        <v>7.3</v>
      </c>
      <c r="AA324" s="125"/>
    </row>
    <row r="325" spans="2:27">
      <c r="B325" s="684" t="s">
        <v>357</v>
      </c>
      <c r="C325" s="557">
        <v>252.31024108828439</v>
      </c>
      <c r="D325" s="402"/>
      <c r="E325" s="560" t="s">
        <v>357</v>
      </c>
      <c r="F325" s="461">
        <v>0.37</v>
      </c>
      <c r="G325" s="529">
        <v>0.19</v>
      </c>
      <c r="H325" s="529">
        <v>0.66</v>
      </c>
      <c r="I325" s="529">
        <v>0</v>
      </c>
      <c r="J325" s="529">
        <v>0</v>
      </c>
      <c r="K325" s="529">
        <v>0.15</v>
      </c>
      <c r="L325" s="125" t="str">
        <f>M405</f>
        <v>South_America</v>
      </c>
      <c r="M325" s="130" t="s">
        <v>357</v>
      </c>
      <c r="N325" s="561">
        <v>0.7</v>
      </c>
      <c r="O325" s="561">
        <v>0</v>
      </c>
      <c r="P325" s="561">
        <v>0.06</v>
      </c>
      <c r="Q325" s="561">
        <v>0</v>
      </c>
      <c r="R325" s="561">
        <v>0</v>
      </c>
      <c r="S325" s="561">
        <v>0</v>
      </c>
      <c r="T325" s="561">
        <v>0</v>
      </c>
      <c r="U325" s="561">
        <v>0.09</v>
      </c>
      <c r="V325" s="561">
        <v>0.02</v>
      </c>
      <c r="W325" s="561">
        <v>0.02</v>
      </c>
      <c r="X325" s="561">
        <v>0.11</v>
      </c>
      <c r="Y325" s="125"/>
      <c r="Z325" s="130">
        <v>32.799999999999997</v>
      </c>
      <c r="AA325" s="125"/>
    </row>
    <row r="326" spans="2:27">
      <c r="B326" s="684" t="s">
        <v>295</v>
      </c>
      <c r="C326" s="557">
        <v>524.98668142032648</v>
      </c>
      <c r="D326" s="402"/>
      <c r="E326" s="560" t="s">
        <v>295</v>
      </c>
      <c r="F326" s="461">
        <v>0.18</v>
      </c>
      <c r="G326" s="93"/>
      <c r="H326" s="93"/>
      <c r="I326" s="93"/>
      <c r="J326" s="93"/>
      <c r="K326" s="93"/>
      <c r="L326" s="125" t="str">
        <f>M406</f>
        <v>South_Eastern_Asia</v>
      </c>
      <c r="M326" s="130" t="s">
        <v>295</v>
      </c>
      <c r="N326" s="561">
        <v>0.41599999999999998</v>
      </c>
      <c r="O326" s="561">
        <v>0</v>
      </c>
      <c r="P326" s="561">
        <v>0.19500000000000001</v>
      </c>
      <c r="Q326" s="561">
        <v>0</v>
      </c>
      <c r="R326" s="561">
        <v>0</v>
      </c>
      <c r="S326" s="561">
        <v>0</v>
      </c>
      <c r="T326" s="561">
        <v>0</v>
      </c>
      <c r="U326" s="561">
        <v>0.13800000000000001</v>
      </c>
      <c r="V326" s="561">
        <v>4.8000000000000001E-2</v>
      </c>
      <c r="W326" s="561">
        <v>2.5000000000000001E-2</v>
      </c>
      <c r="X326" s="561">
        <v>0.17799999999999999</v>
      </c>
      <c r="Y326" s="125"/>
      <c r="Z326" s="130">
        <v>110.2</v>
      </c>
      <c r="AA326" s="125"/>
    </row>
    <row r="327" spans="2:27">
      <c r="B327" s="684" t="s">
        <v>326</v>
      </c>
      <c r="C327" s="557">
        <v>532.0692783839155</v>
      </c>
      <c r="D327" s="402"/>
      <c r="E327" s="130" t="s">
        <v>326</v>
      </c>
      <c r="F327" s="461">
        <v>0.32</v>
      </c>
      <c r="G327" s="529">
        <v>0</v>
      </c>
      <c r="H327" s="529">
        <v>0.62</v>
      </c>
      <c r="I327" s="529">
        <v>0</v>
      </c>
      <c r="J327" s="529">
        <v>7.0000000000000007E-2</v>
      </c>
      <c r="K327" s="529">
        <v>0.31</v>
      </c>
      <c r="L327" s="125" t="str">
        <f>M397</f>
        <v>Eastern_Europe</v>
      </c>
      <c r="M327" s="130" t="s">
        <v>326</v>
      </c>
      <c r="N327" s="561">
        <v>0.35899999999999999</v>
      </c>
      <c r="O327" s="561">
        <v>3.0000000000000001E-3</v>
      </c>
      <c r="P327" s="561">
        <v>0.14699999999999999</v>
      </c>
      <c r="Q327" s="561">
        <v>6.0000000000000001E-3</v>
      </c>
      <c r="R327" s="561">
        <v>3.6999999999999998E-2</v>
      </c>
      <c r="S327" s="561">
        <v>0</v>
      </c>
      <c r="T327" s="561">
        <v>0</v>
      </c>
      <c r="U327" s="561">
        <v>0</v>
      </c>
      <c r="V327" s="561">
        <v>0</v>
      </c>
      <c r="W327" s="561">
        <v>0</v>
      </c>
      <c r="X327" s="561">
        <v>0.44800000000000001</v>
      </c>
      <c r="Y327" s="125"/>
      <c r="Z327" s="130">
        <v>38.200000000000003</v>
      </c>
      <c r="AA327" s="125"/>
    </row>
    <row r="328" spans="2:27">
      <c r="B328" s="684" t="s">
        <v>341</v>
      </c>
      <c r="C328" s="557">
        <v>227.74258863381979</v>
      </c>
      <c r="D328" s="402"/>
      <c r="E328" s="130" t="s">
        <v>341</v>
      </c>
      <c r="F328" s="461">
        <v>0.52</v>
      </c>
      <c r="G328" s="529">
        <v>0</v>
      </c>
      <c r="H328" s="529">
        <v>0.62</v>
      </c>
      <c r="I328" s="529">
        <v>0.19</v>
      </c>
      <c r="J328" s="529">
        <v>7.0000000000000007E-2</v>
      </c>
      <c r="K328" s="529">
        <v>0.11</v>
      </c>
      <c r="L328" s="125" t="str">
        <f>M409</f>
        <v>Southern_Europe</v>
      </c>
      <c r="M328" s="130" t="s">
        <v>341</v>
      </c>
      <c r="N328" s="561">
        <v>0.318</v>
      </c>
      <c r="O328" s="561">
        <v>0</v>
      </c>
      <c r="P328" s="561">
        <v>0.1</v>
      </c>
      <c r="Q328" s="561">
        <v>7.0000000000000001E-3</v>
      </c>
      <c r="R328" s="561">
        <v>8.1000000000000003E-2</v>
      </c>
      <c r="S328" s="561">
        <v>0</v>
      </c>
      <c r="T328" s="561">
        <v>0</v>
      </c>
      <c r="U328" s="561">
        <v>0.125</v>
      </c>
      <c r="V328" s="561">
        <v>1.6E-2</v>
      </c>
      <c r="W328" s="561">
        <v>3.2000000000000001E-2</v>
      </c>
      <c r="X328" s="561">
        <v>0.32200000000000001</v>
      </c>
      <c r="Y328" s="125"/>
      <c r="Z328" s="130">
        <v>10.3</v>
      </c>
      <c r="AA328" s="125"/>
    </row>
    <row r="329" spans="2:27">
      <c r="B329" s="684" t="s">
        <v>620</v>
      </c>
      <c r="C329" s="557">
        <v>361.61668730944325</v>
      </c>
      <c r="D329" s="402" t="s">
        <v>653</v>
      </c>
      <c r="E329" s="130"/>
      <c r="F329" s="558">
        <f>F392</f>
        <v>0.78</v>
      </c>
      <c r="G329" s="93"/>
      <c r="H329" s="93"/>
      <c r="I329" s="93"/>
      <c r="J329" s="93"/>
      <c r="K329" s="93"/>
      <c r="L329" s="380" t="s">
        <v>661</v>
      </c>
      <c r="M329" s="130"/>
      <c r="N329" s="562">
        <f>N393</f>
        <v>0.627</v>
      </c>
      <c r="O329" s="562">
        <f t="shared" ref="O329:X329" si="121">O393</f>
        <v>0</v>
      </c>
      <c r="P329" s="562">
        <f t="shared" si="121"/>
        <v>0.126</v>
      </c>
      <c r="Q329" s="562">
        <f t="shared" si="121"/>
        <v>3.0000000000000001E-3</v>
      </c>
      <c r="R329" s="562">
        <f t="shared" si="121"/>
        <v>2.1999999999999999E-2</v>
      </c>
      <c r="S329" s="562">
        <f t="shared" si="121"/>
        <v>0</v>
      </c>
      <c r="T329" s="562">
        <f t="shared" si="121"/>
        <v>0</v>
      </c>
      <c r="U329" s="562">
        <f t="shared" si="121"/>
        <v>0.10299999999999999</v>
      </c>
      <c r="V329" s="562">
        <f t="shared" si="121"/>
        <v>2.7E-2</v>
      </c>
      <c r="W329" s="562">
        <f t="shared" si="121"/>
        <v>3.3000000000000002E-2</v>
      </c>
      <c r="X329" s="562">
        <f t="shared" si="121"/>
        <v>0.06</v>
      </c>
      <c r="Y329" s="125" t="s">
        <v>653</v>
      </c>
      <c r="Z329" s="130">
        <v>2.8</v>
      </c>
      <c r="AA329" s="125"/>
    </row>
    <row r="330" spans="2:27">
      <c r="B330" s="684" t="s">
        <v>380</v>
      </c>
      <c r="C330" s="557">
        <v>258.11205740676598</v>
      </c>
      <c r="D330" s="402"/>
      <c r="E330" s="560" t="s">
        <v>380</v>
      </c>
      <c r="F330" s="461">
        <v>1.25</v>
      </c>
      <c r="G330" s="93"/>
      <c r="H330" s="93"/>
      <c r="I330" s="93"/>
      <c r="J330" s="93"/>
      <c r="K330" s="93"/>
      <c r="L330" s="125" t="str">
        <f>M411</f>
        <v>Western_Asia</v>
      </c>
      <c r="M330" s="125"/>
      <c r="N330" s="569">
        <f t="shared" ref="N330:X330" si="122">N411</f>
        <v>0.42199999999999999</v>
      </c>
      <c r="O330" s="569">
        <f t="shared" si="122"/>
        <v>3.2000000000000001E-2</v>
      </c>
      <c r="P330" s="569">
        <f t="shared" si="122"/>
        <v>0.153</v>
      </c>
      <c r="Q330" s="569">
        <f t="shared" si="122"/>
        <v>8.0000000000000002E-3</v>
      </c>
      <c r="R330" s="569">
        <f t="shared" si="122"/>
        <v>0.03</v>
      </c>
      <c r="S330" s="569">
        <f t="shared" si="122"/>
        <v>4.0000000000000001E-3</v>
      </c>
      <c r="T330" s="569">
        <f t="shared" si="122"/>
        <v>3.0000000000000001E-3</v>
      </c>
      <c r="U330" s="569">
        <f t="shared" si="122"/>
        <v>0.17199999999999999</v>
      </c>
      <c r="V330" s="569">
        <f t="shared" si="122"/>
        <v>2.5000000000000001E-2</v>
      </c>
      <c r="W330" s="569">
        <f t="shared" si="122"/>
        <v>3.4000000000000002E-2</v>
      </c>
      <c r="X330" s="569">
        <f t="shared" si="122"/>
        <v>0.11799999999999999</v>
      </c>
      <c r="Y330" s="125" t="s">
        <v>653</v>
      </c>
      <c r="Z330" s="130">
        <v>2.9</v>
      </c>
      <c r="AA330" s="125"/>
    </row>
    <row r="331" spans="2:27">
      <c r="B331" s="684" t="s">
        <v>621</v>
      </c>
      <c r="C331" s="557">
        <v>420.8579809780482</v>
      </c>
      <c r="D331" s="402"/>
      <c r="E331" s="130" t="s">
        <v>394</v>
      </c>
      <c r="F331" s="461">
        <v>0.69</v>
      </c>
      <c r="G331" s="93"/>
      <c r="H331" s="93"/>
      <c r="I331" s="93"/>
      <c r="J331" s="93"/>
      <c r="K331" s="93"/>
      <c r="L331" s="125" t="str">
        <f>M395</f>
        <v>Eastern_Africa</v>
      </c>
      <c r="M331" s="125"/>
      <c r="N331" s="569">
        <f t="shared" ref="N331:X331" si="123">N395</f>
        <v>0.44400000000000001</v>
      </c>
      <c r="O331" s="569">
        <f t="shared" si="123"/>
        <v>6.9000000000000006E-2</v>
      </c>
      <c r="P331" s="569">
        <f t="shared" si="123"/>
        <v>0.104</v>
      </c>
      <c r="Q331" s="569">
        <f t="shared" si="123"/>
        <v>5.0000000000000001E-3</v>
      </c>
      <c r="R331" s="569">
        <f t="shared" si="123"/>
        <v>0.03</v>
      </c>
      <c r="S331" s="569">
        <f t="shared" si="123"/>
        <v>0</v>
      </c>
      <c r="T331" s="569">
        <f t="shared" si="123"/>
        <v>4.0000000000000001E-3</v>
      </c>
      <c r="U331" s="569">
        <f t="shared" si="123"/>
        <v>0.08</v>
      </c>
      <c r="V331" s="569">
        <f t="shared" si="123"/>
        <v>2.5999999999999999E-2</v>
      </c>
      <c r="W331" s="569">
        <f t="shared" si="123"/>
        <v>2.1000000000000001E-2</v>
      </c>
      <c r="X331" s="569">
        <f t="shared" si="123"/>
        <v>0.217</v>
      </c>
      <c r="Y331" s="125" t="s">
        <v>653</v>
      </c>
      <c r="Z331" s="130">
        <v>0.9</v>
      </c>
      <c r="AA331" s="125"/>
    </row>
    <row r="332" spans="2:27">
      <c r="B332" s="684" t="s">
        <v>328</v>
      </c>
      <c r="C332" s="557">
        <v>289.47954702504603</v>
      </c>
      <c r="D332" s="402"/>
      <c r="E332" s="130" t="s">
        <v>328</v>
      </c>
      <c r="F332" s="461">
        <v>0.31</v>
      </c>
      <c r="G332" s="529">
        <v>0</v>
      </c>
      <c r="H332" s="529">
        <v>0.76</v>
      </c>
      <c r="I332" s="529">
        <v>0</v>
      </c>
      <c r="J332" s="529">
        <v>0.1</v>
      </c>
      <c r="K332" s="529">
        <v>0.14000000000000001</v>
      </c>
      <c r="L332" s="125" t="str">
        <f>M397</f>
        <v>Eastern_Europe</v>
      </c>
      <c r="M332" s="130" t="s">
        <v>328</v>
      </c>
      <c r="N332" s="561">
        <v>0.435</v>
      </c>
      <c r="O332" s="561">
        <v>5.2999999999999999E-2</v>
      </c>
      <c r="P332" s="561">
        <v>0.10299999999999999</v>
      </c>
      <c r="Q332" s="561">
        <v>1.7000000000000001E-2</v>
      </c>
      <c r="R332" s="561">
        <v>0</v>
      </c>
      <c r="S332" s="561">
        <v>0</v>
      </c>
      <c r="T332" s="561">
        <v>0</v>
      </c>
      <c r="U332" s="561">
        <v>0</v>
      </c>
      <c r="V332" s="561">
        <v>0</v>
      </c>
      <c r="W332" s="561">
        <v>0</v>
      </c>
      <c r="X332" s="561">
        <v>0.39200000000000002</v>
      </c>
      <c r="Y332" s="125"/>
      <c r="Z332" s="130">
        <v>19.2</v>
      </c>
      <c r="AA332" s="125"/>
    </row>
    <row r="333" spans="2:27">
      <c r="B333" s="684" t="s">
        <v>329</v>
      </c>
      <c r="C333" s="557">
        <v>360.02424543556276</v>
      </c>
      <c r="D333" s="402"/>
      <c r="E333" s="130" t="s">
        <v>329</v>
      </c>
      <c r="F333" s="461">
        <v>0.34</v>
      </c>
      <c r="G333" s="93"/>
      <c r="H333" s="93"/>
      <c r="I333" s="93"/>
      <c r="J333" s="93"/>
      <c r="K333" s="93"/>
      <c r="L333" s="125" t="str">
        <f>M397</f>
        <v>Eastern_Europe</v>
      </c>
      <c r="M333" s="130" t="s">
        <v>329</v>
      </c>
      <c r="N333" s="561">
        <v>0.30199999999999999</v>
      </c>
      <c r="O333" s="561">
        <v>0</v>
      </c>
      <c r="P333" s="561">
        <v>0.42499999999999999</v>
      </c>
      <c r="Q333" s="561">
        <v>1.4999999999999999E-2</v>
      </c>
      <c r="R333" s="561">
        <v>0.04</v>
      </c>
      <c r="S333" s="561">
        <v>0</v>
      </c>
      <c r="T333" s="561">
        <v>0</v>
      </c>
      <c r="U333" s="561">
        <v>0</v>
      </c>
      <c r="V333" s="561">
        <v>0</v>
      </c>
      <c r="W333" s="561">
        <v>0</v>
      </c>
      <c r="X333" s="561">
        <v>0.218</v>
      </c>
      <c r="Y333" s="125"/>
      <c r="Z333" s="130">
        <v>145.80000000000001</v>
      </c>
      <c r="AA333" s="125"/>
    </row>
    <row r="334" spans="2:27">
      <c r="B334" s="684" t="s">
        <v>395</v>
      </c>
      <c r="C334" s="557">
        <v>416.00923480616655</v>
      </c>
      <c r="D334" s="402"/>
      <c r="E334" s="560" t="s">
        <v>395</v>
      </c>
      <c r="F334" s="461">
        <v>0.19</v>
      </c>
      <c r="G334" s="93"/>
      <c r="H334" s="93"/>
      <c r="I334" s="93"/>
      <c r="J334" s="93"/>
      <c r="K334" s="93"/>
      <c r="L334" s="125" t="str">
        <f>M395</f>
        <v>Eastern_Africa</v>
      </c>
      <c r="M334" s="130"/>
      <c r="N334" s="562">
        <f t="shared" ref="N334:X334" si="124">N395</f>
        <v>0.44400000000000001</v>
      </c>
      <c r="O334" s="562">
        <f t="shared" si="124"/>
        <v>6.9000000000000006E-2</v>
      </c>
      <c r="P334" s="562">
        <f t="shared" si="124"/>
        <v>0.104</v>
      </c>
      <c r="Q334" s="562">
        <f t="shared" si="124"/>
        <v>5.0000000000000001E-3</v>
      </c>
      <c r="R334" s="562">
        <f t="shared" si="124"/>
        <v>0.03</v>
      </c>
      <c r="S334" s="562">
        <f t="shared" si="124"/>
        <v>0</v>
      </c>
      <c r="T334" s="562">
        <f t="shared" si="124"/>
        <v>4.0000000000000001E-3</v>
      </c>
      <c r="U334" s="562">
        <f t="shared" si="124"/>
        <v>0.08</v>
      </c>
      <c r="V334" s="562">
        <f t="shared" si="124"/>
        <v>2.5999999999999999E-2</v>
      </c>
      <c r="W334" s="562">
        <f t="shared" si="124"/>
        <v>2.1000000000000001E-2</v>
      </c>
      <c r="X334" s="562">
        <f t="shared" si="124"/>
        <v>0.217</v>
      </c>
      <c r="Y334" s="125" t="s">
        <v>653</v>
      </c>
      <c r="Z334" s="130">
        <v>13.3</v>
      </c>
      <c r="AA334" s="125"/>
    </row>
    <row r="335" spans="2:27">
      <c r="B335" s="684" t="s">
        <v>622</v>
      </c>
      <c r="C335" s="557">
        <v>456.12301120760935</v>
      </c>
      <c r="D335" s="402" t="s">
        <v>653</v>
      </c>
      <c r="E335" s="130"/>
      <c r="F335" s="564">
        <f>F410</f>
        <v>0.18</v>
      </c>
      <c r="G335" s="558"/>
      <c r="H335" s="558"/>
      <c r="I335" s="558"/>
      <c r="J335" s="558"/>
      <c r="K335" s="558"/>
      <c r="L335" s="380" t="str">
        <f>M410</f>
        <v>Western_Africa</v>
      </c>
      <c r="M335" s="566"/>
      <c r="N335" s="562">
        <f>N410</f>
        <v>0.53900000000000003</v>
      </c>
      <c r="O335" s="562">
        <f t="shared" ref="O335:X335" si="125">O410</f>
        <v>0</v>
      </c>
      <c r="P335" s="562">
        <f t="shared" si="125"/>
        <v>7.4999999999999997E-2</v>
      </c>
      <c r="Q335" s="562">
        <f t="shared" si="125"/>
        <v>0</v>
      </c>
      <c r="R335" s="562">
        <f t="shared" si="125"/>
        <v>1.9E-2</v>
      </c>
      <c r="S335" s="562">
        <f t="shared" si="125"/>
        <v>0</v>
      </c>
      <c r="T335" s="562">
        <f t="shared" si="125"/>
        <v>0</v>
      </c>
      <c r="U335" s="562">
        <f t="shared" si="125"/>
        <v>6.4000000000000001E-2</v>
      </c>
      <c r="V335" s="562">
        <f t="shared" si="125"/>
        <v>2.7E-2</v>
      </c>
      <c r="W335" s="562">
        <f t="shared" si="125"/>
        <v>1.2999999999999999E-2</v>
      </c>
      <c r="X335" s="562">
        <f t="shared" si="125"/>
        <v>0.26500000000000001</v>
      </c>
      <c r="Y335" s="124" t="s">
        <v>653</v>
      </c>
      <c r="Z335" s="130"/>
      <c r="AA335" s="125"/>
    </row>
    <row r="336" spans="2:27">
      <c r="B336" s="684" t="s">
        <v>441</v>
      </c>
      <c r="C336" s="557">
        <v>477.08604640944623</v>
      </c>
      <c r="D336" s="402"/>
      <c r="E336" s="560" t="s">
        <v>441</v>
      </c>
      <c r="F336" s="461">
        <v>1.99</v>
      </c>
      <c r="G336" s="529">
        <v>0</v>
      </c>
      <c r="H336" s="529">
        <v>1</v>
      </c>
      <c r="I336" s="529">
        <v>0</v>
      </c>
      <c r="J336" s="529">
        <v>0</v>
      </c>
      <c r="K336" s="529">
        <v>0</v>
      </c>
      <c r="L336" s="125" t="str">
        <f>M393</f>
        <v>Central_America</v>
      </c>
      <c r="M336" s="130"/>
      <c r="N336" s="562">
        <f t="shared" ref="N336:X336" si="126">N393</f>
        <v>0.627</v>
      </c>
      <c r="O336" s="562">
        <f t="shared" si="126"/>
        <v>0</v>
      </c>
      <c r="P336" s="562">
        <f t="shared" si="126"/>
        <v>0.126</v>
      </c>
      <c r="Q336" s="562">
        <f t="shared" si="126"/>
        <v>3.0000000000000001E-3</v>
      </c>
      <c r="R336" s="562">
        <f t="shared" si="126"/>
        <v>2.1999999999999999E-2</v>
      </c>
      <c r="S336" s="562">
        <f t="shared" si="126"/>
        <v>0</v>
      </c>
      <c r="T336" s="562">
        <f t="shared" si="126"/>
        <v>0</v>
      </c>
      <c r="U336" s="562">
        <f t="shared" si="126"/>
        <v>0.10299999999999999</v>
      </c>
      <c r="V336" s="562">
        <f t="shared" si="126"/>
        <v>2.7E-2</v>
      </c>
      <c r="W336" s="562">
        <f t="shared" si="126"/>
        <v>3.3000000000000002E-2</v>
      </c>
      <c r="X336" s="562">
        <f t="shared" si="126"/>
        <v>0.06</v>
      </c>
      <c r="Y336" s="124" t="s">
        <v>653</v>
      </c>
      <c r="Z336" s="130">
        <v>0.05</v>
      </c>
      <c r="AA336" s="125"/>
    </row>
    <row r="337" spans="2:27">
      <c r="B337" s="684" t="s">
        <v>442</v>
      </c>
      <c r="C337" s="557">
        <v>520.90705415317166</v>
      </c>
      <c r="D337" s="402"/>
      <c r="E337" s="130" t="s">
        <v>442</v>
      </c>
      <c r="F337" s="461">
        <v>0.25</v>
      </c>
      <c r="G337" s="529">
        <v>0</v>
      </c>
      <c r="H337" s="529">
        <v>1</v>
      </c>
      <c r="I337" s="529">
        <v>0</v>
      </c>
      <c r="J337" s="529">
        <v>0</v>
      </c>
      <c r="K337" s="529">
        <v>0</v>
      </c>
      <c r="L337" s="125" t="str">
        <f>M393</f>
        <v>Central_America</v>
      </c>
      <c r="M337" s="130"/>
      <c r="N337" s="562">
        <f t="shared" ref="N337:X337" si="127">N393</f>
        <v>0.627</v>
      </c>
      <c r="O337" s="562">
        <f t="shared" si="127"/>
        <v>0</v>
      </c>
      <c r="P337" s="562">
        <f t="shared" si="127"/>
        <v>0.126</v>
      </c>
      <c r="Q337" s="562">
        <f t="shared" si="127"/>
        <v>3.0000000000000001E-3</v>
      </c>
      <c r="R337" s="562">
        <f t="shared" si="127"/>
        <v>2.1999999999999999E-2</v>
      </c>
      <c r="S337" s="562">
        <f t="shared" si="127"/>
        <v>0</v>
      </c>
      <c r="T337" s="562">
        <f t="shared" si="127"/>
        <v>0</v>
      </c>
      <c r="U337" s="562">
        <f t="shared" si="127"/>
        <v>0.10299999999999999</v>
      </c>
      <c r="V337" s="562">
        <f t="shared" si="127"/>
        <v>2.7E-2</v>
      </c>
      <c r="W337" s="562">
        <f t="shared" si="127"/>
        <v>3.3000000000000002E-2</v>
      </c>
      <c r="X337" s="562">
        <f t="shared" si="127"/>
        <v>0.06</v>
      </c>
      <c r="Y337" s="124" t="s">
        <v>653</v>
      </c>
      <c r="Z337" s="130">
        <v>0.2</v>
      </c>
      <c r="AA337" s="125"/>
    </row>
    <row r="338" spans="2:27">
      <c r="B338" s="684" t="s">
        <v>623</v>
      </c>
      <c r="C338" s="557">
        <v>483.55495411529171</v>
      </c>
      <c r="D338" s="402" t="s">
        <v>653</v>
      </c>
      <c r="E338" s="130"/>
      <c r="F338" s="558">
        <f>F392</f>
        <v>0.78</v>
      </c>
      <c r="G338" s="93"/>
      <c r="H338" s="93"/>
      <c r="I338" s="93"/>
      <c r="J338" s="93"/>
      <c r="K338" s="93"/>
      <c r="L338" s="380" t="s">
        <v>661</v>
      </c>
      <c r="M338" s="130"/>
      <c r="N338" s="562">
        <f>N393</f>
        <v>0.627</v>
      </c>
      <c r="O338" s="562">
        <f t="shared" ref="O338:X338" si="128">O393</f>
        <v>0</v>
      </c>
      <c r="P338" s="562">
        <f t="shared" si="128"/>
        <v>0.126</v>
      </c>
      <c r="Q338" s="562">
        <f t="shared" si="128"/>
        <v>3.0000000000000001E-3</v>
      </c>
      <c r="R338" s="562">
        <f t="shared" si="128"/>
        <v>2.1999999999999999E-2</v>
      </c>
      <c r="S338" s="562">
        <f t="shared" si="128"/>
        <v>0</v>
      </c>
      <c r="T338" s="562">
        <f t="shared" si="128"/>
        <v>0</v>
      </c>
      <c r="U338" s="562">
        <f t="shared" si="128"/>
        <v>0.10299999999999999</v>
      </c>
      <c r="V338" s="562">
        <f t="shared" si="128"/>
        <v>2.7E-2</v>
      </c>
      <c r="W338" s="562">
        <f t="shared" si="128"/>
        <v>3.3000000000000002E-2</v>
      </c>
      <c r="X338" s="562">
        <f t="shared" si="128"/>
        <v>0.06</v>
      </c>
      <c r="Y338" s="124" t="s">
        <v>653</v>
      </c>
      <c r="Z338" s="130"/>
      <c r="AA338" s="125"/>
    </row>
    <row r="339" spans="2:27">
      <c r="B339" s="684" t="s">
        <v>624</v>
      </c>
      <c r="C339" s="557">
        <v>414.87524919417905</v>
      </c>
      <c r="D339" s="402" t="s">
        <v>653</v>
      </c>
      <c r="E339" s="130"/>
      <c r="F339" s="564">
        <f>F401</f>
        <v>0.96</v>
      </c>
      <c r="G339" s="558"/>
      <c r="H339" s="558"/>
      <c r="I339" s="558"/>
      <c r="J339" s="558"/>
      <c r="K339" s="558"/>
      <c r="L339" s="380" t="str">
        <f>M401</f>
        <v>Northern_America</v>
      </c>
      <c r="M339" s="566"/>
      <c r="N339" s="562">
        <f>N401</f>
        <v>0.20200000000000001</v>
      </c>
      <c r="O339" s="562">
        <f t="shared" ref="O339:X339" si="129">O401</f>
        <v>6.8000000000000005E-2</v>
      </c>
      <c r="P339" s="562">
        <f t="shared" si="129"/>
        <v>0.23300000000000001</v>
      </c>
      <c r="Q339" s="562">
        <f t="shared" si="129"/>
        <v>4.1000000000000002E-2</v>
      </c>
      <c r="R339" s="562">
        <f t="shared" si="129"/>
        <v>3.9E-2</v>
      </c>
      <c r="S339" s="562">
        <f t="shared" si="129"/>
        <v>0</v>
      </c>
      <c r="T339" s="562">
        <f t="shared" si="129"/>
        <v>1.6E-2</v>
      </c>
      <c r="U339" s="562">
        <f t="shared" si="129"/>
        <v>0.158</v>
      </c>
      <c r="V339" s="562">
        <f t="shared" si="129"/>
        <v>6.4000000000000001E-2</v>
      </c>
      <c r="W339" s="562">
        <f t="shared" si="129"/>
        <v>4.2000000000000003E-2</v>
      </c>
      <c r="X339" s="562">
        <f t="shared" si="129"/>
        <v>0.14000000000000001</v>
      </c>
      <c r="Y339" s="124" t="s">
        <v>653</v>
      </c>
      <c r="Z339" s="130"/>
      <c r="AA339" s="125"/>
    </row>
    <row r="340" spans="2:27">
      <c r="B340" s="684" t="s">
        <v>625</v>
      </c>
      <c r="C340" s="557">
        <v>499.24849787581934</v>
      </c>
      <c r="D340" s="402"/>
      <c r="E340" s="130" t="s">
        <v>443</v>
      </c>
      <c r="F340" s="461">
        <v>0.35</v>
      </c>
      <c r="G340" s="529">
        <v>0</v>
      </c>
      <c r="H340" s="529">
        <v>0.85</v>
      </c>
      <c r="I340" s="529">
        <v>0</v>
      </c>
      <c r="J340" s="529">
        <v>0</v>
      </c>
      <c r="K340" s="529">
        <v>0.15</v>
      </c>
      <c r="L340" s="125" t="str">
        <f>M393</f>
        <v>Central_America</v>
      </c>
      <c r="M340" s="130"/>
      <c r="N340" s="562">
        <f t="shared" ref="N340:X340" si="130">N393</f>
        <v>0.627</v>
      </c>
      <c r="O340" s="562">
        <f t="shared" si="130"/>
        <v>0</v>
      </c>
      <c r="P340" s="562">
        <f t="shared" si="130"/>
        <v>0.126</v>
      </c>
      <c r="Q340" s="562">
        <f t="shared" si="130"/>
        <v>3.0000000000000001E-3</v>
      </c>
      <c r="R340" s="562">
        <f t="shared" si="130"/>
        <v>2.1999999999999999E-2</v>
      </c>
      <c r="S340" s="562">
        <f t="shared" si="130"/>
        <v>0</v>
      </c>
      <c r="T340" s="562">
        <f t="shared" si="130"/>
        <v>0</v>
      </c>
      <c r="U340" s="562">
        <f t="shared" si="130"/>
        <v>0.10299999999999999</v>
      </c>
      <c r="V340" s="562">
        <f t="shared" si="130"/>
        <v>2.7E-2</v>
      </c>
      <c r="W340" s="562">
        <f t="shared" si="130"/>
        <v>3.3000000000000002E-2</v>
      </c>
      <c r="X340" s="562">
        <f t="shared" si="130"/>
        <v>0.06</v>
      </c>
      <c r="Y340" s="124" t="s">
        <v>653</v>
      </c>
      <c r="Z340" s="130">
        <v>0.1</v>
      </c>
      <c r="AA340" s="125"/>
    </row>
    <row r="341" spans="2:27">
      <c r="B341" s="684" t="s">
        <v>626</v>
      </c>
      <c r="C341" s="557">
        <v>434.29372549193522</v>
      </c>
      <c r="D341" s="402" t="s">
        <v>653</v>
      </c>
      <c r="E341" s="130"/>
      <c r="F341" s="564">
        <f>F403</f>
        <v>0.6</v>
      </c>
      <c r="G341" s="558"/>
      <c r="H341" s="558"/>
      <c r="I341" s="558"/>
      <c r="J341" s="558"/>
      <c r="K341" s="558"/>
      <c r="L341" s="380" t="str">
        <f>M403</f>
        <v>Oceania</v>
      </c>
      <c r="M341" s="566"/>
      <c r="N341" s="562">
        <f>N403</f>
        <v>0.25900000000000001</v>
      </c>
      <c r="O341" s="562">
        <f t="shared" ref="O341:X341" si="131">O403</f>
        <v>0.122</v>
      </c>
      <c r="P341" s="562">
        <f t="shared" si="131"/>
        <v>0.12</v>
      </c>
      <c r="Q341" s="562">
        <f t="shared" si="131"/>
        <v>6.5000000000000002E-2</v>
      </c>
      <c r="R341" s="562">
        <f t="shared" si="131"/>
        <v>2.9499999999999998E-2</v>
      </c>
      <c r="S341" s="562">
        <f t="shared" si="131"/>
        <v>3.5000000000000003E-2</v>
      </c>
      <c r="T341" s="562">
        <f t="shared" si="131"/>
        <v>0</v>
      </c>
      <c r="U341" s="562">
        <f t="shared" si="131"/>
        <v>8.3000000000000004E-2</v>
      </c>
      <c r="V341" s="562">
        <f t="shared" si="131"/>
        <v>1.7999999999999999E-2</v>
      </c>
      <c r="W341" s="562">
        <f t="shared" si="131"/>
        <v>2.8000000000000001E-2</v>
      </c>
      <c r="X341" s="562">
        <f t="shared" si="131"/>
        <v>0.24099999999999999</v>
      </c>
      <c r="Y341" s="124" t="s">
        <v>653</v>
      </c>
      <c r="Z341" s="130">
        <v>0.2</v>
      </c>
      <c r="AA341" s="125"/>
    </row>
    <row r="342" spans="2:27">
      <c r="B342" s="684" t="s">
        <v>627</v>
      </c>
      <c r="C342" s="557">
        <v>223.71243671342881</v>
      </c>
      <c r="D342" s="402" t="s">
        <v>653</v>
      </c>
      <c r="E342" s="130"/>
      <c r="F342" s="380">
        <f>F409</f>
        <v>0.47</v>
      </c>
      <c r="G342" s="558"/>
      <c r="H342" s="558"/>
      <c r="I342" s="558"/>
      <c r="J342" s="558"/>
      <c r="K342" s="558"/>
      <c r="L342" s="570" t="str">
        <f>M409</f>
        <v>Southern_Europe</v>
      </c>
      <c r="M342" s="566"/>
      <c r="N342" s="562">
        <f>N409</f>
        <v>0.35799999999999998</v>
      </c>
      <c r="O342" s="562">
        <f t="shared" ref="O342:X342" si="132">O409</f>
        <v>1.4E-2</v>
      </c>
      <c r="P342" s="562">
        <f t="shared" si="132"/>
        <v>0.214</v>
      </c>
      <c r="Q342" s="562">
        <f t="shared" si="132"/>
        <v>1.2E-2</v>
      </c>
      <c r="R342" s="562">
        <f t="shared" si="132"/>
        <v>2.8000000000000001E-2</v>
      </c>
      <c r="S342" s="562">
        <f t="shared" si="132"/>
        <v>1.0999999999999999E-2</v>
      </c>
      <c r="T342" s="562">
        <f t="shared" si="132"/>
        <v>2E-3</v>
      </c>
      <c r="U342" s="562">
        <f t="shared" si="132"/>
        <v>0.14099999999999999</v>
      </c>
      <c r="V342" s="562">
        <f t="shared" si="132"/>
        <v>0.02</v>
      </c>
      <c r="W342" s="562">
        <f t="shared" si="132"/>
        <v>3.5000000000000003E-2</v>
      </c>
      <c r="X342" s="562">
        <f t="shared" si="132"/>
        <v>0.16700000000000001</v>
      </c>
      <c r="Y342" s="124" t="s">
        <v>653</v>
      </c>
      <c r="Z342" s="130">
        <v>0.03</v>
      </c>
      <c r="AA342" s="125"/>
    </row>
    <row r="343" spans="2:27">
      <c r="B343" s="684" t="s">
        <v>628</v>
      </c>
      <c r="C343" s="557">
        <v>564.72331426351616</v>
      </c>
      <c r="D343" s="402"/>
      <c r="E343" s="560" t="s">
        <v>404</v>
      </c>
      <c r="F343" s="461">
        <v>0.18</v>
      </c>
      <c r="G343" s="93"/>
      <c r="H343" s="93"/>
      <c r="I343" s="93"/>
      <c r="J343" s="93"/>
      <c r="K343" s="93"/>
      <c r="L343" s="125" t="str">
        <f>M399</f>
        <v>Middle_Africa</v>
      </c>
      <c r="M343" s="130"/>
      <c r="N343" s="562">
        <f t="shared" ref="N343:X343" si="133">N399</f>
        <v>0.28399999999999997</v>
      </c>
      <c r="O343" s="562">
        <f t="shared" si="133"/>
        <v>0</v>
      </c>
      <c r="P343" s="562">
        <f t="shared" si="133"/>
        <v>0.08</v>
      </c>
      <c r="Q343" s="562">
        <f t="shared" si="133"/>
        <v>0</v>
      </c>
      <c r="R343" s="562">
        <f t="shared" si="133"/>
        <v>1.2999999999999999E-2</v>
      </c>
      <c r="S343" s="562">
        <f t="shared" si="133"/>
        <v>0</v>
      </c>
      <c r="T343" s="562">
        <f t="shared" si="133"/>
        <v>0</v>
      </c>
      <c r="U343" s="562">
        <f t="shared" si="133"/>
        <v>7.0999999999999994E-2</v>
      </c>
      <c r="V343" s="562">
        <f t="shared" si="133"/>
        <v>1.4E-2</v>
      </c>
      <c r="W343" s="562">
        <f t="shared" si="133"/>
        <v>1.0999999999999999E-2</v>
      </c>
      <c r="X343" s="562">
        <f t="shared" si="133"/>
        <v>0.52700000000000002</v>
      </c>
      <c r="Y343" s="124" t="s">
        <v>653</v>
      </c>
      <c r="Z343" s="130">
        <v>0.2</v>
      </c>
      <c r="AA343" s="125"/>
    </row>
    <row r="344" spans="2:27">
      <c r="B344" s="684" t="s">
        <v>307</v>
      </c>
      <c r="C344" s="557">
        <v>373.68555697289543</v>
      </c>
      <c r="D344" s="402"/>
      <c r="E344" s="560" t="s">
        <v>307</v>
      </c>
      <c r="F344" s="461">
        <v>0.47</v>
      </c>
      <c r="G344" s="93"/>
      <c r="H344" s="93"/>
      <c r="I344" s="93"/>
      <c r="J344" s="93"/>
      <c r="K344" s="93"/>
      <c r="L344" s="125" t="str">
        <f>M411</f>
        <v>Western_Asia</v>
      </c>
      <c r="M344" s="130" t="s">
        <v>307</v>
      </c>
      <c r="N344" s="561">
        <v>0.48</v>
      </c>
      <c r="O344" s="561">
        <v>0</v>
      </c>
      <c r="P344" s="561">
        <v>0.21</v>
      </c>
      <c r="Q344" s="561">
        <v>0.01</v>
      </c>
      <c r="R344" s="561">
        <v>0</v>
      </c>
      <c r="S344" s="561">
        <v>0</v>
      </c>
      <c r="T344" s="561">
        <v>0</v>
      </c>
      <c r="U344" s="561">
        <v>0.13</v>
      </c>
      <c r="V344" s="561">
        <v>0.06</v>
      </c>
      <c r="W344" s="561">
        <v>0.04</v>
      </c>
      <c r="X344" s="561">
        <v>7.0000000000000007E-2</v>
      </c>
      <c r="Y344" s="125"/>
      <c r="Z344" s="130">
        <v>35.9</v>
      </c>
      <c r="AA344" s="125"/>
    </row>
    <row r="345" spans="2:27">
      <c r="B345" s="684" t="s">
        <v>416</v>
      </c>
      <c r="C345" s="557">
        <v>656.24454611174929</v>
      </c>
      <c r="D345" s="402"/>
      <c r="E345" s="560" t="s">
        <v>416</v>
      </c>
      <c r="F345" s="461">
        <v>0.19</v>
      </c>
      <c r="G345" s="93"/>
      <c r="H345" s="93"/>
      <c r="I345" s="93"/>
      <c r="J345" s="93"/>
      <c r="K345" s="93"/>
      <c r="L345" s="125" t="str">
        <f>M410</f>
        <v>Western_Africa</v>
      </c>
      <c r="M345" s="130"/>
      <c r="N345" s="562">
        <f t="shared" ref="N345:X345" si="134">N410</f>
        <v>0.53900000000000003</v>
      </c>
      <c r="O345" s="562">
        <f t="shared" si="134"/>
        <v>0</v>
      </c>
      <c r="P345" s="562">
        <f t="shared" si="134"/>
        <v>7.4999999999999997E-2</v>
      </c>
      <c r="Q345" s="562">
        <f t="shared" si="134"/>
        <v>0</v>
      </c>
      <c r="R345" s="562">
        <f t="shared" si="134"/>
        <v>1.9E-2</v>
      </c>
      <c r="S345" s="562">
        <f t="shared" si="134"/>
        <v>0</v>
      </c>
      <c r="T345" s="562">
        <f t="shared" si="134"/>
        <v>0</v>
      </c>
      <c r="U345" s="562">
        <f t="shared" si="134"/>
        <v>6.4000000000000001E-2</v>
      </c>
      <c r="V345" s="562">
        <f t="shared" si="134"/>
        <v>2.7E-2</v>
      </c>
      <c r="W345" s="562">
        <f t="shared" si="134"/>
        <v>1.2999999999999999E-2</v>
      </c>
      <c r="X345" s="562">
        <f t="shared" si="134"/>
        <v>0.26500000000000001</v>
      </c>
      <c r="Y345" s="125" t="s">
        <v>653</v>
      </c>
      <c r="Z345" s="130">
        <v>17.2</v>
      </c>
      <c r="AA345" s="125"/>
    </row>
    <row r="346" spans="2:27">
      <c r="B346" s="684" t="s">
        <v>342</v>
      </c>
      <c r="C346" s="557">
        <v>677.72974782899087</v>
      </c>
      <c r="D346" s="402"/>
      <c r="E346" s="130" t="s">
        <v>342</v>
      </c>
      <c r="F346" s="461">
        <v>0.36</v>
      </c>
      <c r="G346" s="529">
        <v>0</v>
      </c>
      <c r="H346" s="529">
        <v>0.71</v>
      </c>
      <c r="I346" s="529">
        <v>0</v>
      </c>
      <c r="J346" s="529">
        <v>0</v>
      </c>
      <c r="K346" s="529">
        <v>0.28999999999999998</v>
      </c>
      <c r="L346" s="125" t="str">
        <f>M409</f>
        <v>Southern_Europe</v>
      </c>
      <c r="M346" s="130" t="s">
        <v>342</v>
      </c>
      <c r="N346" s="561">
        <v>0.443</v>
      </c>
      <c r="O346" s="561">
        <v>0</v>
      </c>
      <c r="P346" s="561">
        <v>0.13</v>
      </c>
      <c r="Q346" s="561">
        <v>0</v>
      </c>
      <c r="R346" s="561">
        <v>4.4999999999999998E-2</v>
      </c>
      <c r="S346" s="561">
        <v>0.04</v>
      </c>
      <c r="T346" s="561">
        <v>4.0000000000000001E-3</v>
      </c>
      <c r="U346" s="561">
        <v>0.13900000000000001</v>
      </c>
      <c r="V346" s="561">
        <v>1.4E-2</v>
      </c>
      <c r="W346" s="561">
        <v>4.2000000000000003E-2</v>
      </c>
      <c r="X346" s="561">
        <v>0.14399999999999999</v>
      </c>
      <c r="Y346" s="125"/>
      <c r="Z346" s="130">
        <v>6.8</v>
      </c>
      <c r="AA346" s="125"/>
    </row>
    <row r="347" spans="2:27">
      <c r="B347" s="684" t="s">
        <v>396</v>
      </c>
      <c r="C347" s="557">
        <v>478.78966080444832</v>
      </c>
      <c r="D347" s="402"/>
      <c r="E347" s="560" t="s">
        <v>396</v>
      </c>
      <c r="F347" s="461">
        <v>1.0900000000000001</v>
      </c>
      <c r="G347" s="93"/>
      <c r="H347" s="93"/>
      <c r="I347" s="93"/>
      <c r="J347" s="93"/>
      <c r="K347" s="93"/>
      <c r="L347" s="125" t="str">
        <f>M395</f>
        <v>Eastern_Africa</v>
      </c>
      <c r="M347" s="130"/>
      <c r="N347" s="562">
        <f t="shared" ref="N347:X347" si="135">N395</f>
        <v>0.44400000000000001</v>
      </c>
      <c r="O347" s="562">
        <f t="shared" si="135"/>
        <v>6.9000000000000006E-2</v>
      </c>
      <c r="P347" s="562">
        <f t="shared" si="135"/>
        <v>0.104</v>
      </c>
      <c r="Q347" s="562">
        <f t="shared" si="135"/>
        <v>5.0000000000000001E-3</v>
      </c>
      <c r="R347" s="562">
        <f t="shared" si="135"/>
        <v>0.03</v>
      </c>
      <c r="S347" s="562">
        <f t="shared" si="135"/>
        <v>0</v>
      </c>
      <c r="T347" s="562">
        <f t="shared" si="135"/>
        <v>4.0000000000000001E-3</v>
      </c>
      <c r="U347" s="562">
        <f t="shared" si="135"/>
        <v>0.08</v>
      </c>
      <c r="V347" s="562">
        <f t="shared" si="135"/>
        <v>2.5999999999999999E-2</v>
      </c>
      <c r="W347" s="562">
        <f t="shared" si="135"/>
        <v>2.1000000000000001E-2</v>
      </c>
      <c r="X347" s="562">
        <f t="shared" si="135"/>
        <v>0.217</v>
      </c>
      <c r="Y347" s="125" t="s">
        <v>653</v>
      </c>
      <c r="Z347" s="130">
        <v>0.1</v>
      </c>
      <c r="AA347" s="125"/>
    </row>
    <row r="348" spans="2:27">
      <c r="B348" s="684" t="s">
        <v>417</v>
      </c>
      <c r="C348" s="557">
        <v>245.92899433095167</v>
      </c>
      <c r="D348" s="402"/>
      <c r="E348" s="560" t="s">
        <v>417</v>
      </c>
      <c r="F348" s="461">
        <v>0.16</v>
      </c>
      <c r="G348" s="93"/>
      <c r="H348" s="93"/>
      <c r="I348" s="93"/>
      <c r="J348" s="93"/>
      <c r="K348" s="93"/>
      <c r="L348" s="125" t="str">
        <f>M410</f>
        <v>Western_Africa</v>
      </c>
      <c r="M348" s="130"/>
      <c r="N348" s="562">
        <f t="shared" ref="N348:X348" si="136">N410</f>
        <v>0.53900000000000003</v>
      </c>
      <c r="O348" s="562">
        <f t="shared" si="136"/>
        <v>0</v>
      </c>
      <c r="P348" s="562">
        <f t="shared" si="136"/>
        <v>7.4999999999999997E-2</v>
      </c>
      <c r="Q348" s="562">
        <f t="shared" si="136"/>
        <v>0</v>
      </c>
      <c r="R348" s="562">
        <f t="shared" si="136"/>
        <v>1.9E-2</v>
      </c>
      <c r="S348" s="562">
        <f t="shared" si="136"/>
        <v>0</v>
      </c>
      <c r="T348" s="562">
        <f t="shared" si="136"/>
        <v>0</v>
      </c>
      <c r="U348" s="562">
        <f t="shared" si="136"/>
        <v>6.4000000000000001E-2</v>
      </c>
      <c r="V348" s="562">
        <f t="shared" si="136"/>
        <v>2.7E-2</v>
      </c>
      <c r="W348" s="562">
        <f t="shared" si="136"/>
        <v>1.2999999999999999E-2</v>
      </c>
      <c r="X348" s="562">
        <f t="shared" si="136"/>
        <v>0.26500000000000001</v>
      </c>
      <c r="Y348" s="125" t="s">
        <v>653</v>
      </c>
      <c r="Z348" s="130">
        <v>8.1</v>
      </c>
      <c r="AA348" s="125"/>
    </row>
    <row r="349" spans="2:27">
      <c r="B349" s="684" t="s">
        <v>296</v>
      </c>
      <c r="C349" s="557">
        <v>199.64443170570416</v>
      </c>
      <c r="D349" s="402"/>
      <c r="E349" s="560" t="s">
        <v>296</v>
      </c>
      <c r="F349" s="461">
        <v>1.28</v>
      </c>
      <c r="G349" s="529">
        <v>0</v>
      </c>
      <c r="H349" s="529">
        <v>0.03</v>
      </c>
      <c r="I349" s="529">
        <v>0.4</v>
      </c>
      <c r="J349" s="529">
        <v>0</v>
      </c>
      <c r="K349" s="529">
        <v>0.56999999999999995</v>
      </c>
      <c r="L349" s="125" t="str">
        <f>M406</f>
        <v>South_Eastern_Asia</v>
      </c>
      <c r="M349" s="130" t="s">
        <v>296</v>
      </c>
      <c r="N349" s="561">
        <v>0.10100000000000001</v>
      </c>
      <c r="O349" s="561">
        <v>4.1000000000000002E-2</v>
      </c>
      <c r="P349" s="561">
        <v>0.151</v>
      </c>
      <c r="Q349" s="561">
        <v>6.8000000000000005E-2</v>
      </c>
      <c r="R349" s="561">
        <v>1.9E-2</v>
      </c>
      <c r="S349" s="561">
        <v>0</v>
      </c>
      <c r="T349" s="561">
        <v>4.0000000000000001E-3</v>
      </c>
      <c r="U349" s="561">
        <v>0.105</v>
      </c>
      <c r="V349" s="561">
        <v>0.186</v>
      </c>
      <c r="W349" s="561">
        <v>8.9999999999999993E-3</v>
      </c>
      <c r="X349" s="561">
        <v>0.314</v>
      </c>
      <c r="Y349" s="125"/>
      <c r="Z349" s="130">
        <v>5.7</v>
      </c>
      <c r="AA349" s="125"/>
    </row>
    <row r="350" spans="2:27">
      <c r="B350" s="684" t="s">
        <v>629</v>
      </c>
      <c r="C350" s="557">
        <v>463.04431251750447</v>
      </c>
      <c r="D350" s="402" t="s">
        <v>653</v>
      </c>
      <c r="E350" s="130"/>
      <c r="F350" s="558">
        <f>F392</f>
        <v>0.78</v>
      </c>
      <c r="G350" s="93"/>
      <c r="H350" s="93"/>
      <c r="I350" s="93"/>
      <c r="J350" s="93"/>
      <c r="K350" s="93"/>
      <c r="L350" s="380" t="s">
        <v>661</v>
      </c>
      <c r="M350" s="130"/>
      <c r="N350" s="562">
        <f>N393</f>
        <v>0.627</v>
      </c>
      <c r="O350" s="562">
        <f t="shared" ref="O350:X350" si="137">O393</f>
        <v>0</v>
      </c>
      <c r="P350" s="562">
        <f t="shared" si="137"/>
        <v>0.126</v>
      </c>
      <c r="Q350" s="562">
        <f t="shared" si="137"/>
        <v>3.0000000000000001E-3</v>
      </c>
      <c r="R350" s="562">
        <f t="shared" si="137"/>
        <v>2.1999999999999999E-2</v>
      </c>
      <c r="S350" s="562">
        <f t="shared" si="137"/>
        <v>0</v>
      </c>
      <c r="T350" s="562">
        <f t="shared" si="137"/>
        <v>0</v>
      </c>
      <c r="U350" s="562">
        <f t="shared" si="137"/>
        <v>0.10299999999999999</v>
      </c>
      <c r="V350" s="562">
        <f t="shared" si="137"/>
        <v>2.7E-2</v>
      </c>
      <c r="W350" s="562">
        <f t="shared" si="137"/>
        <v>3.3000000000000002E-2</v>
      </c>
      <c r="X350" s="562">
        <f t="shared" si="137"/>
        <v>0.06</v>
      </c>
      <c r="Y350" s="125" t="s">
        <v>653</v>
      </c>
      <c r="Z350" s="130"/>
      <c r="AA350" s="125"/>
    </row>
    <row r="351" spans="2:27">
      <c r="B351" s="684" t="s">
        <v>630</v>
      </c>
      <c r="C351" s="557">
        <v>163.72125716658411</v>
      </c>
      <c r="D351" s="402"/>
      <c r="E351" s="130" t="s">
        <v>420</v>
      </c>
      <c r="F351" s="461">
        <v>0.32</v>
      </c>
      <c r="G351" s="529">
        <v>0</v>
      </c>
      <c r="H351" s="529">
        <v>0.77</v>
      </c>
      <c r="I351" s="529">
        <v>0.11</v>
      </c>
      <c r="J351" s="529">
        <v>0.03</v>
      </c>
      <c r="K351" s="529">
        <v>0.09</v>
      </c>
      <c r="L351" s="125" t="str">
        <f>M397</f>
        <v>Eastern_Europe</v>
      </c>
      <c r="M351" s="130"/>
      <c r="N351" s="562">
        <f>N397</f>
        <v>0.318</v>
      </c>
      <c r="O351" s="562">
        <f t="shared" ref="O351:X351" si="138">O397</f>
        <v>2.4E-2</v>
      </c>
      <c r="P351" s="562">
        <f t="shared" si="138"/>
        <v>0.17100000000000001</v>
      </c>
      <c r="Q351" s="562">
        <f t="shared" si="138"/>
        <v>2.5000000000000001E-2</v>
      </c>
      <c r="R351" s="562">
        <f t="shared" si="138"/>
        <v>3.1E-2</v>
      </c>
      <c r="S351" s="562">
        <f t="shared" si="138"/>
        <v>5.0000000000000001E-3</v>
      </c>
      <c r="T351" s="562">
        <f t="shared" si="138"/>
        <v>5.0000000000000001E-3</v>
      </c>
      <c r="U351" s="562">
        <f t="shared" si="138"/>
        <v>4.5999999999999999E-2</v>
      </c>
      <c r="V351" s="562">
        <f t="shared" si="138"/>
        <v>7.0000000000000001E-3</v>
      </c>
      <c r="W351" s="562">
        <f t="shared" si="138"/>
        <v>1.7999999999999999E-2</v>
      </c>
      <c r="X351" s="562">
        <f t="shared" si="138"/>
        <v>0.35299999999999998</v>
      </c>
      <c r="Y351" s="125" t="s">
        <v>653</v>
      </c>
      <c r="Z351" s="130">
        <v>5.5</v>
      </c>
      <c r="AA351" s="125"/>
    </row>
    <row r="352" spans="2:27">
      <c r="B352" s="684" t="s">
        <v>343</v>
      </c>
      <c r="C352" s="557">
        <v>284.8539622834993</v>
      </c>
      <c r="D352" s="402"/>
      <c r="E352" s="130" t="s">
        <v>343</v>
      </c>
      <c r="F352" s="461">
        <v>0.49</v>
      </c>
      <c r="G352" s="529">
        <v>0</v>
      </c>
      <c r="H352" s="529">
        <v>0.56999999999999995</v>
      </c>
      <c r="I352" s="529">
        <v>0.01</v>
      </c>
      <c r="J352" s="529">
        <v>0.02</v>
      </c>
      <c r="K352" s="529">
        <v>0.4</v>
      </c>
      <c r="L352" s="125" t="str">
        <f>M409</f>
        <v>Southern_Europe</v>
      </c>
      <c r="M352" s="130" t="s">
        <v>343</v>
      </c>
      <c r="N352" s="561">
        <v>0.318</v>
      </c>
      <c r="O352" s="561">
        <v>0.02</v>
      </c>
      <c r="P352" s="561">
        <v>0.22600000000000001</v>
      </c>
      <c r="Q352" s="561">
        <v>5.6000000000000001E-2</v>
      </c>
      <c r="R352" s="561">
        <v>0</v>
      </c>
      <c r="S352" s="561">
        <v>0</v>
      </c>
      <c r="T352" s="561">
        <v>0</v>
      </c>
      <c r="U352" s="561">
        <v>0</v>
      </c>
      <c r="V352" s="561">
        <v>0</v>
      </c>
      <c r="W352" s="561">
        <v>0</v>
      </c>
      <c r="X352" s="561">
        <v>0.38</v>
      </c>
      <c r="Y352" s="125"/>
      <c r="Z352" s="130">
        <v>2.1</v>
      </c>
      <c r="AA352" s="125"/>
    </row>
    <row r="353" spans="2:27">
      <c r="B353" s="684" t="s">
        <v>465</v>
      </c>
      <c r="C353" s="557">
        <v>562.82293622532848</v>
      </c>
      <c r="D353" s="402"/>
      <c r="E353" s="560" t="s">
        <v>465</v>
      </c>
      <c r="F353" s="461">
        <v>1.57</v>
      </c>
      <c r="G353" s="93"/>
      <c r="H353" s="93"/>
      <c r="I353" s="93"/>
      <c r="J353" s="93"/>
      <c r="K353" s="93"/>
      <c r="L353" s="125" t="str">
        <f>M403</f>
        <v>Oceania</v>
      </c>
      <c r="M353" s="130"/>
      <c r="N353" s="562">
        <f t="shared" ref="N353:X353" si="139">N403</f>
        <v>0.25900000000000001</v>
      </c>
      <c r="O353" s="562">
        <f t="shared" si="139"/>
        <v>0.122</v>
      </c>
      <c r="P353" s="562">
        <f t="shared" si="139"/>
        <v>0.12</v>
      </c>
      <c r="Q353" s="562">
        <f t="shared" si="139"/>
        <v>6.5000000000000002E-2</v>
      </c>
      <c r="R353" s="562">
        <f t="shared" si="139"/>
        <v>2.9499999999999998E-2</v>
      </c>
      <c r="S353" s="562">
        <f t="shared" si="139"/>
        <v>3.5000000000000003E-2</v>
      </c>
      <c r="T353" s="562">
        <f t="shared" si="139"/>
        <v>0</v>
      </c>
      <c r="U353" s="562">
        <f t="shared" si="139"/>
        <v>8.3000000000000004E-2</v>
      </c>
      <c r="V353" s="562">
        <f t="shared" si="139"/>
        <v>1.7999999999999999E-2</v>
      </c>
      <c r="W353" s="562">
        <f t="shared" si="139"/>
        <v>2.8000000000000001E-2</v>
      </c>
      <c r="X353" s="562">
        <f t="shared" si="139"/>
        <v>0.24099999999999999</v>
      </c>
      <c r="Y353" s="125" t="s">
        <v>653</v>
      </c>
      <c r="Z353" s="130">
        <v>0.7</v>
      </c>
      <c r="AA353" s="125"/>
    </row>
    <row r="354" spans="2:27">
      <c r="B354" s="684" t="s">
        <v>631</v>
      </c>
      <c r="C354" s="557">
        <v>582.29226405636541</v>
      </c>
      <c r="D354" s="402" t="s">
        <v>653</v>
      </c>
      <c r="E354" s="130"/>
      <c r="F354" s="564">
        <f>F395</f>
        <v>0.28999999999999998</v>
      </c>
      <c r="G354" s="558"/>
      <c r="H354" s="558"/>
      <c r="I354" s="558"/>
      <c r="J354" s="558"/>
      <c r="K354" s="558"/>
      <c r="L354" s="380" t="str">
        <f>M395</f>
        <v>Eastern_Africa</v>
      </c>
      <c r="M354" s="566"/>
      <c r="N354" s="562">
        <f>N395</f>
        <v>0.44400000000000001</v>
      </c>
      <c r="O354" s="562">
        <f t="shared" ref="O354:X354" si="140">O395</f>
        <v>6.9000000000000006E-2</v>
      </c>
      <c r="P354" s="562">
        <f t="shared" si="140"/>
        <v>0.104</v>
      </c>
      <c r="Q354" s="562">
        <f t="shared" si="140"/>
        <v>5.0000000000000001E-3</v>
      </c>
      <c r="R354" s="562">
        <f t="shared" si="140"/>
        <v>0.03</v>
      </c>
      <c r="S354" s="562">
        <f t="shared" si="140"/>
        <v>0</v>
      </c>
      <c r="T354" s="562">
        <f t="shared" si="140"/>
        <v>4.0000000000000001E-3</v>
      </c>
      <c r="U354" s="562">
        <f t="shared" si="140"/>
        <v>0.08</v>
      </c>
      <c r="V354" s="562">
        <f t="shared" si="140"/>
        <v>2.5999999999999999E-2</v>
      </c>
      <c r="W354" s="562">
        <f t="shared" si="140"/>
        <v>2.1000000000000001E-2</v>
      </c>
      <c r="X354" s="562">
        <f t="shared" si="140"/>
        <v>0.217</v>
      </c>
      <c r="Y354" s="125" t="s">
        <v>653</v>
      </c>
      <c r="Z354" s="130">
        <v>16.399999999999999</v>
      </c>
      <c r="AA354" s="125"/>
    </row>
    <row r="355" spans="2:27">
      <c r="B355" s="684" t="s">
        <v>319</v>
      </c>
      <c r="C355" s="557">
        <v>785.74745478401042</v>
      </c>
      <c r="D355" s="402"/>
      <c r="E355" s="560" t="s">
        <v>319</v>
      </c>
      <c r="F355" s="461">
        <v>0.73</v>
      </c>
      <c r="G355" s="93"/>
      <c r="H355" s="93"/>
      <c r="I355" s="93"/>
      <c r="J355" s="93"/>
      <c r="K355" s="93"/>
      <c r="L355" s="125" t="str">
        <f>M407</f>
        <v>Southern_Africa</v>
      </c>
      <c r="M355" s="130" t="s">
        <v>319</v>
      </c>
      <c r="N355" s="561">
        <v>0.24</v>
      </c>
      <c r="O355" s="561">
        <v>0</v>
      </c>
      <c r="P355" s="561">
        <v>0.14499999999999999</v>
      </c>
      <c r="Q355" s="561">
        <v>0</v>
      </c>
      <c r="R355" s="561">
        <v>5.5E-2</v>
      </c>
      <c r="S355" s="561">
        <v>0</v>
      </c>
      <c r="T355" s="561">
        <v>0</v>
      </c>
      <c r="U355" s="561">
        <v>0.26500000000000001</v>
      </c>
      <c r="V355" s="561">
        <v>6.5000000000000002E-2</v>
      </c>
      <c r="W355" s="561">
        <v>0.09</v>
      </c>
      <c r="X355" s="561">
        <v>0.14000000000000001</v>
      </c>
      <c r="Y355" s="125"/>
      <c r="Z355" s="130">
        <v>60.1</v>
      </c>
      <c r="AA355" s="125"/>
    </row>
    <row r="356" spans="2:27">
      <c r="B356" s="684" t="s">
        <v>632</v>
      </c>
      <c r="C356" s="557">
        <v>704.05083822326856</v>
      </c>
      <c r="D356" s="402" t="s">
        <v>653</v>
      </c>
      <c r="E356" s="130"/>
      <c r="F356" s="564">
        <f>F400</f>
        <v>0.41</v>
      </c>
      <c r="G356" s="558"/>
      <c r="H356" s="558"/>
      <c r="I356" s="558"/>
      <c r="J356" s="558"/>
      <c r="K356" s="558"/>
      <c r="L356" s="380" t="str">
        <f>M400</f>
        <v>Northern_Africa</v>
      </c>
      <c r="M356" s="566"/>
      <c r="N356" s="562">
        <f>N400</f>
        <v>0.504</v>
      </c>
      <c r="O356" s="562">
        <f t="shared" ref="O356:X356" si="141">O400</f>
        <v>0</v>
      </c>
      <c r="P356" s="562">
        <f t="shared" si="141"/>
        <v>0.121</v>
      </c>
      <c r="Q356" s="562">
        <f t="shared" si="141"/>
        <v>0</v>
      </c>
      <c r="R356" s="562">
        <f t="shared" si="141"/>
        <v>5.8000000000000003E-2</v>
      </c>
      <c r="S356" s="562">
        <f t="shared" si="141"/>
        <v>0</v>
      </c>
      <c r="T356" s="562">
        <f t="shared" si="141"/>
        <v>0</v>
      </c>
      <c r="U356" s="562">
        <f t="shared" si="141"/>
        <v>0.13800000000000001</v>
      </c>
      <c r="V356" s="562">
        <f t="shared" si="141"/>
        <v>4.3999999999999997E-2</v>
      </c>
      <c r="W356" s="562">
        <f t="shared" si="141"/>
        <v>3.3000000000000002E-2</v>
      </c>
      <c r="X356" s="562">
        <f t="shared" si="141"/>
        <v>0.105</v>
      </c>
      <c r="Y356" s="125" t="s">
        <v>653</v>
      </c>
      <c r="Z356" s="130">
        <v>11.4</v>
      </c>
      <c r="AA356" s="125"/>
    </row>
    <row r="357" spans="2:27" ht="14.45" customHeight="1">
      <c r="B357" s="684" t="s">
        <v>344</v>
      </c>
      <c r="C357" s="557">
        <v>208.69804493845825</v>
      </c>
      <c r="D357" s="402"/>
      <c r="E357" s="130" t="s">
        <v>344</v>
      </c>
      <c r="F357" s="461">
        <v>0.51</v>
      </c>
      <c r="G357" s="529">
        <v>0</v>
      </c>
      <c r="H357" s="529">
        <v>0.62</v>
      </c>
      <c r="I357" s="529">
        <v>0.09</v>
      </c>
      <c r="J357" s="529">
        <v>0.12</v>
      </c>
      <c r="K357" s="529">
        <v>0.18</v>
      </c>
      <c r="L357" s="125" t="str">
        <f>M409</f>
        <v>Southern_Europe</v>
      </c>
      <c r="M357" s="130" t="s">
        <v>344</v>
      </c>
      <c r="N357" s="561">
        <v>0.56200000000000006</v>
      </c>
      <c r="O357" s="561">
        <v>1.7999999999999999E-2</v>
      </c>
      <c r="P357" s="561">
        <v>0.19</v>
      </c>
      <c r="Q357" s="561">
        <v>0</v>
      </c>
      <c r="R357" s="561">
        <v>0</v>
      </c>
      <c r="S357" s="561">
        <v>0</v>
      </c>
      <c r="T357" s="561">
        <v>0</v>
      </c>
      <c r="U357" s="561">
        <v>0.107</v>
      </c>
      <c r="V357" s="561">
        <v>0.03</v>
      </c>
      <c r="W357" s="561">
        <v>3.3000000000000002E-2</v>
      </c>
      <c r="X357" s="561">
        <v>0.06</v>
      </c>
      <c r="Y357" s="125"/>
      <c r="Z357" s="130">
        <v>47.4</v>
      </c>
      <c r="AA357" s="125"/>
    </row>
    <row r="358" spans="2:27">
      <c r="B358" s="684" t="s">
        <v>302</v>
      </c>
      <c r="C358" s="557">
        <v>505.85473495972747</v>
      </c>
      <c r="D358" s="402"/>
      <c r="E358" s="560" t="s">
        <v>302</v>
      </c>
      <c r="F358" s="461">
        <v>1.86</v>
      </c>
      <c r="G358" s="93"/>
      <c r="H358" s="93"/>
      <c r="I358" s="93"/>
      <c r="J358" s="93"/>
      <c r="K358" s="93"/>
      <c r="L358" s="125" t="str">
        <f>M408</f>
        <v>Southern_Asia</v>
      </c>
      <c r="M358" s="130" t="s">
        <v>302</v>
      </c>
      <c r="N358" s="561">
        <v>0.76400000000000001</v>
      </c>
      <c r="O358" s="561">
        <v>0</v>
      </c>
      <c r="P358" s="561">
        <v>0.106</v>
      </c>
      <c r="Q358" s="561">
        <v>0</v>
      </c>
      <c r="R358" s="561">
        <v>0</v>
      </c>
      <c r="S358" s="561">
        <v>0</v>
      </c>
      <c r="T358" s="561">
        <v>0</v>
      </c>
      <c r="U358" s="561">
        <v>5.7000000000000002E-2</v>
      </c>
      <c r="V358" s="561">
        <v>1.2999999999999999E-2</v>
      </c>
      <c r="W358" s="561">
        <v>1.2999999999999999E-2</v>
      </c>
      <c r="X358" s="561">
        <v>4.7E-2</v>
      </c>
      <c r="Y358" s="125"/>
      <c r="Z358" s="130">
        <v>22.1</v>
      </c>
      <c r="AA358" s="125"/>
    </row>
    <row r="359" spans="2:27">
      <c r="B359" s="684" t="s">
        <v>386</v>
      </c>
      <c r="C359" s="557">
        <v>398.17196931350855</v>
      </c>
      <c r="D359" s="402"/>
      <c r="E359" s="560" t="s">
        <v>386</v>
      </c>
      <c r="F359" s="461">
        <v>0.28999999999999998</v>
      </c>
      <c r="G359" s="93"/>
      <c r="H359" s="93"/>
      <c r="I359" s="93"/>
      <c r="J359" s="93"/>
      <c r="K359" s="93"/>
      <c r="L359" s="568" t="str">
        <f>M400</f>
        <v>Northern_Africa</v>
      </c>
      <c r="M359" s="125"/>
      <c r="N359" s="569">
        <f t="shared" ref="N359:X359" si="142">N400</f>
        <v>0.504</v>
      </c>
      <c r="O359" s="569">
        <f t="shared" si="142"/>
        <v>0</v>
      </c>
      <c r="P359" s="569">
        <f t="shared" si="142"/>
        <v>0.121</v>
      </c>
      <c r="Q359" s="569">
        <f t="shared" si="142"/>
        <v>0</v>
      </c>
      <c r="R359" s="569">
        <f t="shared" si="142"/>
        <v>5.8000000000000003E-2</v>
      </c>
      <c r="S359" s="569">
        <f t="shared" si="142"/>
        <v>0</v>
      </c>
      <c r="T359" s="569">
        <f t="shared" si="142"/>
        <v>0</v>
      </c>
      <c r="U359" s="569">
        <f t="shared" si="142"/>
        <v>0.13800000000000001</v>
      </c>
      <c r="V359" s="569">
        <f t="shared" si="142"/>
        <v>4.3999999999999997E-2</v>
      </c>
      <c r="W359" s="569">
        <f t="shared" si="142"/>
        <v>3.3000000000000002E-2</v>
      </c>
      <c r="X359" s="569">
        <f t="shared" si="142"/>
        <v>0.105</v>
      </c>
      <c r="Y359" s="125" t="s">
        <v>653</v>
      </c>
      <c r="Z359" s="130">
        <v>44.9</v>
      </c>
      <c r="AA359" s="125"/>
    </row>
    <row r="360" spans="2:27">
      <c r="B360" s="684" t="s">
        <v>459</v>
      </c>
      <c r="C360" s="557">
        <v>564.88495903124567</v>
      </c>
      <c r="D360" s="402"/>
      <c r="E360" s="560" t="s">
        <v>459</v>
      </c>
      <c r="F360" s="461">
        <v>0.5</v>
      </c>
      <c r="G360" s="529">
        <v>1</v>
      </c>
      <c r="H360" s="529">
        <v>0</v>
      </c>
      <c r="I360" s="529">
        <v>0</v>
      </c>
      <c r="J360" s="529">
        <v>0</v>
      </c>
      <c r="K360" s="529">
        <v>0</v>
      </c>
      <c r="L360" s="125" t="str">
        <f>M405</f>
        <v>South_America</v>
      </c>
      <c r="M360" s="125"/>
      <c r="N360" s="569">
        <f t="shared" ref="N360:X360" si="143">N405</f>
        <v>0.54100000000000004</v>
      </c>
      <c r="O360" s="569">
        <f t="shared" si="143"/>
        <v>3.3000000000000002E-2</v>
      </c>
      <c r="P360" s="569">
        <f t="shared" si="143"/>
        <v>0.124</v>
      </c>
      <c r="Q360" s="569">
        <f t="shared" si="143"/>
        <v>0</v>
      </c>
      <c r="R360" s="569">
        <f t="shared" si="143"/>
        <v>1.7000000000000001E-2</v>
      </c>
      <c r="S360" s="569">
        <f t="shared" si="143"/>
        <v>1.9E-2</v>
      </c>
      <c r="T360" s="569">
        <f t="shared" si="143"/>
        <v>6.0000000000000001E-3</v>
      </c>
      <c r="U360" s="569">
        <f t="shared" si="143"/>
        <v>0.13700000000000001</v>
      </c>
      <c r="V360" s="569">
        <f t="shared" si="143"/>
        <v>0.02</v>
      </c>
      <c r="W360" s="569">
        <f t="shared" si="143"/>
        <v>0.03</v>
      </c>
      <c r="X360" s="569">
        <f t="shared" si="143"/>
        <v>7.1999999999999995E-2</v>
      </c>
      <c r="Y360" s="125" t="s">
        <v>653</v>
      </c>
      <c r="Z360" s="130">
        <v>0.6</v>
      </c>
      <c r="AA360" s="125"/>
    </row>
    <row r="361" spans="2:27">
      <c r="B361" s="684" t="s">
        <v>337</v>
      </c>
      <c r="C361" s="557">
        <v>25.275304048983678</v>
      </c>
      <c r="D361" s="402"/>
      <c r="E361" s="130" t="s">
        <v>337</v>
      </c>
      <c r="F361" s="461">
        <v>0.44</v>
      </c>
      <c r="G361" s="529">
        <v>0</v>
      </c>
      <c r="H361" s="529">
        <v>0.01</v>
      </c>
      <c r="I361" s="529">
        <v>0.51</v>
      </c>
      <c r="J361" s="529">
        <v>0.14000000000000001</v>
      </c>
      <c r="K361" s="529">
        <v>0.34</v>
      </c>
      <c r="L361" s="125" t="str">
        <f>M402</f>
        <v>Northern_Europe</v>
      </c>
      <c r="M361" s="130" t="s">
        <v>337</v>
      </c>
      <c r="N361" s="561">
        <v>0.43</v>
      </c>
      <c r="O361" s="561">
        <v>0.1</v>
      </c>
      <c r="P361" s="561">
        <v>0.1</v>
      </c>
      <c r="Q361" s="561">
        <v>0.01</v>
      </c>
      <c r="R361" s="561">
        <v>0.08</v>
      </c>
      <c r="S361" s="561">
        <v>0.03</v>
      </c>
      <c r="T361" s="561">
        <v>0</v>
      </c>
      <c r="U361" s="561">
        <v>0</v>
      </c>
      <c r="V361" s="561">
        <v>0</v>
      </c>
      <c r="W361" s="561">
        <v>0</v>
      </c>
      <c r="X361" s="561">
        <v>0.25</v>
      </c>
      <c r="Y361" s="125"/>
      <c r="Z361" s="130">
        <v>10.4</v>
      </c>
      <c r="AA361" s="125"/>
    </row>
    <row r="362" spans="2:27">
      <c r="B362" s="684" t="s">
        <v>351</v>
      </c>
      <c r="C362" s="557">
        <v>20.173190933358427</v>
      </c>
      <c r="D362" s="402"/>
      <c r="E362" s="130" t="s">
        <v>351</v>
      </c>
      <c r="F362" s="461">
        <v>0.71</v>
      </c>
      <c r="G362" s="529">
        <v>0</v>
      </c>
      <c r="H362" s="529">
        <v>0</v>
      </c>
      <c r="I362" s="529">
        <v>0.5</v>
      </c>
      <c r="J362" s="529">
        <v>0.17</v>
      </c>
      <c r="K362" s="529">
        <v>0.34</v>
      </c>
      <c r="L362" s="125" t="str">
        <f>M412</f>
        <v>Western_Europe</v>
      </c>
      <c r="M362" s="130" t="s">
        <v>351</v>
      </c>
      <c r="N362" s="561">
        <v>0.315</v>
      </c>
      <c r="O362" s="561">
        <v>1.7000000000000001E-2</v>
      </c>
      <c r="P362" s="561">
        <v>0.17199999999999999</v>
      </c>
      <c r="Q362" s="561">
        <v>1.7999999999999999E-2</v>
      </c>
      <c r="R362" s="561">
        <v>3.2000000000000001E-2</v>
      </c>
      <c r="S362" s="561">
        <v>0</v>
      </c>
      <c r="T362" s="561">
        <v>0</v>
      </c>
      <c r="U362" s="561">
        <v>0.44600000000000001</v>
      </c>
      <c r="V362" s="561">
        <v>0</v>
      </c>
      <c r="W362" s="561">
        <v>0</v>
      </c>
      <c r="X362" s="561">
        <v>0</v>
      </c>
      <c r="Y362" s="125"/>
      <c r="Z362" s="130">
        <v>8.6999999999999993</v>
      </c>
      <c r="AA362" s="125"/>
    </row>
    <row r="363" spans="2:27">
      <c r="B363" s="684" t="s">
        <v>382</v>
      </c>
      <c r="C363" s="557">
        <v>546.47988627525933</v>
      </c>
      <c r="D363" s="402"/>
      <c r="E363" s="560" t="s">
        <v>382</v>
      </c>
      <c r="F363" s="461">
        <v>0.5</v>
      </c>
      <c r="G363" s="529">
        <v>0.6</v>
      </c>
      <c r="H363" s="529">
        <v>0.23</v>
      </c>
      <c r="I363" s="529">
        <v>0</v>
      </c>
      <c r="J363" s="529">
        <v>0.04</v>
      </c>
      <c r="K363" s="529">
        <v>0.13</v>
      </c>
      <c r="L363" s="125" t="str">
        <f>M411</f>
        <v>Western_Asia</v>
      </c>
      <c r="M363" s="130"/>
      <c r="N363" s="562">
        <f t="shared" ref="N363:X363" si="144">N411</f>
        <v>0.42199999999999999</v>
      </c>
      <c r="O363" s="562">
        <f t="shared" si="144"/>
        <v>3.2000000000000001E-2</v>
      </c>
      <c r="P363" s="562">
        <f t="shared" si="144"/>
        <v>0.153</v>
      </c>
      <c r="Q363" s="562">
        <f t="shared" si="144"/>
        <v>8.0000000000000002E-3</v>
      </c>
      <c r="R363" s="562">
        <f t="shared" si="144"/>
        <v>0.03</v>
      </c>
      <c r="S363" s="562">
        <f t="shared" si="144"/>
        <v>4.0000000000000001E-3</v>
      </c>
      <c r="T363" s="562">
        <f t="shared" si="144"/>
        <v>3.0000000000000001E-3</v>
      </c>
      <c r="U363" s="562">
        <f t="shared" si="144"/>
        <v>0.17199999999999999</v>
      </c>
      <c r="V363" s="562">
        <f t="shared" si="144"/>
        <v>2.5000000000000001E-2</v>
      </c>
      <c r="W363" s="562">
        <f t="shared" si="144"/>
        <v>3.4000000000000002E-2</v>
      </c>
      <c r="X363" s="562">
        <f t="shared" si="144"/>
        <v>0.11799999999999999</v>
      </c>
      <c r="Y363" s="125" t="s">
        <v>653</v>
      </c>
      <c r="Z363" s="130">
        <v>20.399999999999999</v>
      </c>
      <c r="AA363" s="125"/>
    </row>
    <row r="364" spans="2:27">
      <c r="B364" s="684" t="s">
        <v>633</v>
      </c>
      <c r="C364" s="557">
        <v>331.15606772649232</v>
      </c>
      <c r="D364" s="402" t="s">
        <v>653</v>
      </c>
      <c r="E364" s="130"/>
      <c r="F364" s="564">
        <f>F396</f>
        <v>0.48</v>
      </c>
      <c r="G364" s="558"/>
      <c r="H364" s="558"/>
      <c r="I364" s="558"/>
      <c r="J364" s="558"/>
      <c r="K364" s="558"/>
      <c r="L364" s="380" t="str">
        <f>M396</f>
        <v>Eastern_Asia</v>
      </c>
      <c r="M364" s="566"/>
      <c r="N364" s="562">
        <f>N396</f>
        <v>0.40300000000000002</v>
      </c>
      <c r="O364" s="562">
        <f t="shared" ref="O364:X364" si="145">O396</f>
        <v>0</v>
      </c>
      <c r="P364" s="562">
        <f t="shared" si="145"/>
        <v>0.20399999999999999</v>
      </c>
      <c r="Q364" s="562">
        <f t="shared" si="145"/>
        <v>2.1000000000000001E-2</v>
      </c>
      <c r="R364" s="562">
        <f t="shared" si="145"/>
        <v>0.01</v>
      </c>
      <c r="S364" s="562">
        <f t="shared" si="145"/>
        <v>0</v>
      </c>
      <c r="T364" s="562">
        <f t="shared" si="145"/>
        <v>0</v>
      </c>
      <c r="U364" s="562">
        <f t="shared" si="145"/>
        <v>6.5000000000000002E-2</v>
      </c>
      <c r="V364" s="562">
        <f t="shared" si="145"/>
        <v>2.7E-2</v>
      </c>
      <c r="W364" s="562">
        <f t="shared" si="145"/>
        <v>4.2999999999999997E-2</v>
      </c>
      <c r="X364" s="562">
        <f t="shared" si="145"/>
        <v>0.22900000000000001</v>
      </c>
      <c r="Y364" s="124" t="s">
        <v>653</v>
      </c>
      <c r="Z364" s="130">
        <v>23.5</v>
      </c>
      <c r="AA364" s="125"/>
    </row>
    <row r="365" spans="2:27">
      <c r="B365" s="684" t="s">
        <v>365</v>
      </c>
      <c r="C365" s="557">
        <v>105.72642103426016</v>
      </c>
      <c r="D365" s="402"/>
      <c r="E365" s="560" t="s">
        <v>365</v>
      </c>
      <c r="F365" s="461">
        <v>0.32</v>
      </c>
      <c r="G365" s="93"/>
      <c r="H365" s="93"/>
      <c r="I365" s="93"/>
      <c r="J365" s="93"/>
      <c r="K365" s="93"/>
      <c r="L365" s="125" t="str">
        <f>M394</f>
        <v>Central_Asia</v>
      </c>
      <c r="M365" s="130"/>
      <c r="N365" s="562">
        <f t="shared" ref="N365:X365" si="146">N394</f>
        <v>0.3</v>
      </c>
      <c r="O365" s="562">
        <f t="shared" si="146"/>
        <v>1.4E-2</v>
      </c>
      <c r="P365" s="562">
        <f t="shared" si="146"/>
        <v>0.247</v>
      </c>
      <c r="Q365" s="562">
        <f t="shared" si="146"/>
        <v>2.5000000000000001E-2</v>
      </c>
      <c r="R365" s="562">
        <f t="shared" si="146"/>
        <v>3.5000000000000003E-2</v>
      </c>
      <c r="S365" s="562">
        <f t="shared" si="146"/>
        <v>0</v>
      </c>
      <c r="T365" s="562">
        <f t="shared" si="146"/>
        <v>0</v>
      </c>
      <c r="U365" s="562">
        <f t="shared" si="146"/>
        <v>8.4000000000000005E-2</v>
      </c>
      <c r="V365" s="562">
        <f t="shared" si="146"/>
        <v>8.0000000000000002E-3</v>
      </c>
      <c r="W365" s="562">
        <f t="shared" si="146"/>
        <v>5.8999999999999997E-2</v>
      </c>
      <c r="X365" s="562">
        <f t="shared" si="146"/>
        <v>0.23</v>
      </c>
      <c r="Y365" s="125" t="s">
        <v>653</v>
      </c>
      <c r="Z365" s="130">
        <v>9.6999999999999993</v>
      </c>
      <c r="AA365" s="125"/>
    </row>
    <row r="366" spans="2:27">
      <c r="B366" s="684" t="s">
        <v>634</v>
      </c>
      <c r="C366" s="557">
        <v>336.04980441715134</v>
      </c>
      <c r="D366" s="402"/>
      <c r="E366" s="560" t="s">
        <v>315</v>
      </c>
      <c r="F366" s="461">
        <v>0.09</v>
      </c>
      <c r="G366" s="93"/>
      <c r="H366" s="93"/>
      <c r="I366" s="93"/>
      <c r="J366" s="93"/>
      <c r="K366" s="93"/>
      <c r="L366" s="125" t="str">
        <f>M395</f>
        <v>Eastern_Africa</v>
      </c>
      <c r="M366" s="130" t="s">
        <v>315</v>
      </c>
      <c r="N366" s="561">
        <v>0.57099999999999995</v>
      </c>
      <c r="O366" s="561">
        <v>0</v>
      </c>
      <c r="P366" s="561">
        <v>0.109</v>
      </c>
      <c r="Q366" s="561">
        <v>2.4E-2</v>
      </c>
      <c r="R366" s="561">
        <v>6.7000000000000004E-2</v>
      </c>
      <c r="S366" s="561">
        <v>0</v>
      </c>
      <c r="T366" s="561">
        <v>0</v>
      </c>
      <c r="U366" s="561">
        <v>9.2999999999999999E-2</v>
      </c>
      <c r="V366" s="561">
        <v>1.9E-2</v>
      </c>
      <c r="W366" s="561">
        <v>3.2000000000000001E-2</v>
      </c>
      <c r="X366" s="561">
        <v>8.4000000000000005E-2</v>
      </c>
      <c r="Y366" s="125"/>
      <c r="Z366" s="130">
        <v>62.1</v>
      </c>
      <c r="AA366" s="125"/>
    </row>
    <row r="367" spans="2:27">
      <c r="B367" s="684" t="s">
        <v>297</v>
      </c>
      <c r="C367" s="557">
        <v>350.71181490391206</v>
      </c>
      <c r="D367" s="402"/>
      <c r="E367" s="560" t="s">
        <v>297</v>
      </c>
      <c r="F367" s="461">
        <v>0.64</v>
      </c>
      <c r="G367" s="93"/>
      <c r="H367" s="93"/>
      <c r="I367" s="93"/>
      <c r="J367" s="93"/>
      <c r="K367" s="93"/>
      <c r="L367" s="125" t="str">
        <f>M406</f>
        <v>South_Eastern_Asia</v>
      </c>
      <c r="M367" s="130" t="s">
        <v>297</v>
      </c>
      <c r="N367" s="561">
        <v>0.48599999999999999</v>
      </c>
      <c r="O367" s="561">
        <v>0</v>
      </c>
      <c r="P367" s="561">
        <v>0.14599999999999999</v>
      </c>
      <c r="Q367" s="561">
        <v>0</v>
      </c>
      <c r="R367" s="561">
        <v>0</v>
      </c>
      <c r="S367" s="561">
        <v>0</v>
      </c>
      <c r="T367" s="561">
        <v>0</v>
      </c>
      <c r="U367" s="561">
        <v>0.13900000000000001</v>
      </c>
      <c r="V367" s="561">
        <v>3.5999999999999997E-2</v>
      </c>
      <c r="W367" s="561">
        <v>5.0999999999999997E-2</v>
      </c>
      <c r="X367" s="561">
        <v>0.14199999999999999</v>
      </c>
      <c r="Y367" s="125"/>
      <c r="Z367" s="130">
        <v>66.7</v>
      </c>
      <c r="AA367" s="125"/>
    </row>
    <row r="368" spans="2:27">
      <c r="B368" s="684" t="s">
        <v>635</v>
      </c>
      <c r="C368" s="557">
        <v>589.21329161003655</v>
      </c>
      <c r="D368" s="402" t="s">
        <v>653</v>
      </c>
      <c r="E368" s="130"/>
      <c r="F368" s="564">
        <f>F406</f>
        <v>0.46</v>
      </c>
      <c r="G368" s="558"/>
      <c r="H368" s="558"/>
      <c r="I368" s="558"/>
      <c r="J368" s="558"/>
      <c r="K368" s="558"/>
      <c r="L368" s="380" t="str">
        <f>M406</f>
        <v>South_Eastern_Asia</v>
      </c>
      <c r="M368" s="566"/>
      <c r="N368" s="562">
        <f>N406</f>
        <v>0.499</v>
      </c>
      <c r="O368" s="562">
        <f t="shared" ref="O368:X368" si="147">O406</f>
        <v>0.01</v>
      </c>
      <c r="P368" s="562">
        <f t="shared" si="147"/>
        <v>0.112</v>
      </c>
      <c r="Q368" s="562">
        <f t="shared" si="147"/>
        <v>8.0000000000000002E-3</v>
      </c>
      <c r="R368" s="562">
        <f t="shared" si="147"/>
        <v>4.0000000000000001E-3</v>
      </c>
      <c r="S368" s="562">
        <f t="shared" si="147"/>
        <v>0</v>
      </c>
      <c r="T368" s="562">
        <f t="shared" si="147"/>
        <v>0</v>
      </c>
      <c r="U368" s="562">
        <f t="shared" si="147"/>
        <v>0.10199999999999999</v>
      </c>
      <c r="V368" s="562">
        <f t="shared" si="147"/>
        <v>4.2000000000000003E-2</v>
      </c>
      <c r="W368" s="562">
        <f t="shared" si="147"/>
        <v>3.6999999999999998E-2</v>
      </c>
      <c r="X368" s="562">
        <f t="shared" si="147"/>
        <v>0.186</v>
      </c>
      <c r="Y368" s="125" t="s">
        <v>653</v>
      </c>
      <c r="Z368" s="130">
        <v>1.3</v>
      </c>
      <c r="AA368" s="125"/>
    </row>
    <row r="369" spans="2:27">
      <c r="B369" s="684" t="s">
        <v>418</v>
      </c>
      <c r="C369" s="557">
        <v>596.76663590442013</v>
      </c>
      <c r="D369" s="402"/>
      <c r="E369" s="560" t="s">
        <v>418</v>
      </c>
      <c r="F369" s="461">
        <v>0.19</v>
      </c>
      <c r="G369" s="93"/>
      <c r="H369" s="93"/>
      <c r="I369" s="93"/>
      <c r="J369" s="93"/>
      <c r="K369" s="93"/>
      <c r="L369" s="125" t="str">
        <f>M410</f>
        <v>Western_Africa</v>
      </c>
      <c r="M369" s="130"/>
      <c r="N369" s="562">
        <f t="shared" ref="N369:X369" si="148">N410</f>
        <v>0.53900000000000003</v>
      </c>
      <c r="O369" s="562">
        <f t="shared" si="148"/>
        <v>0</v>
      </c>
      <c r="P369" s="562">
        <f t="shared" si="148"/>
        <v>7.4999999999999997E-2</v>
      </c>
      <c r="Q369" s="562">
        <f t="shared" si="148"/>
        <v>0</v>
      </c>
      <c r="R369" s="562">
        <f t="shared" si="148"/>
        <v>1.9E-2</v>
      </c>
      <c r="S369" s="562">
        <f t="shared" si="148"/>
        <v>0</v>
      </c>
      <c r="T369" s="562">
        <f t="shared" si="148"/>
        <v>0</v>
      </c>
      <c r="U369" s="562">
        <f t="shared" si="148"/>
        <v>6.4000000000000001E-2</v>
      </c>
      <c r="V369" s="562">
        <f t="shared" si="148"/>
        <v>2.7E-2</v>
      </c>
      <c r="W369" s="562">
        <f t="shared" si="148"/>
        <v>1.2999999999999999E-2</v>
      </c>
      <c r="X369" s="562">
        <f t="shared" si="148"/>
        <v>0.26500000000000001</v>
      </c>
      <c r="Y369" s="125" t="s">
        <v>653</v>
      </c>
      <c r="Z369" s="130">
        <v>8.3000000000000007</v>
      </c>
      <c r="AA369" s="125"/>
    </row>
    <row r="370" spans="2:27">
      <c r="B370" s="684" t="s">
        <v>468</v>
      </c>
      <c r="C370" s="557">
        <v>532.69841597072798</v>
      </c>
      <c r="D370" s="402"/>
      <c r="E370" s="560" t="s">
        <v>468</v>
      </c>
      <c r="F370" s="461">
        <v>1.35</v>
      </c>
      <c r="G370" s="93"/>
      <c r="H370" s="93"/>
      <c r="I370" s="93"/>
      <c r="J370" s="93"/>
      <c r="K370" s="93"/>
      <c r="L370" s="125" t="str">
        <f>M403</f>
        <v>Oceania</v>
      </c>
      <c r="M370" s="130"/>
      <c r="N370" s="562">
        <f t="shared" ref="N370:X370" si="149">N403</f>
        <v>0.25900000000000001</v>
      </c>
      <c r="O370" s="562">
        <f t="shared" si="149"/>
        <v>0.122</v>
      </c>
      <c r="P370" s="562">
        <f t="shared" si="149"/>
        <v>0.12</v>
      </c>
      <c r="Q370" s="562">
        <f t="shared" si="149"/>
        <v>6.5000000000000002E-2</v>
      </c>
      <c r="R370" s="562">
        <f t="shared" si="149"/>
        <v>2.9499999999999998E-2</v>
      </c>
      <c r="S370" s="562">
        <f t="shared" si="149"/>
        <v>3.5000000000000003E-2</v>
      </c>
      <c r="T370" s="562">
        <f t="shared" si="149"/>
        <v>0</v>
      </c>
      <c r="U370" s="562">
        <f t="shared" si="149"/>
        <v>8.3000000000000004E-2</v>
      </c>
      <c r="V370" s="562">
        <f t="shared" si="149"/>
        <v>1.7999999999999999E-2</v>
      </c>
      <c r="W370" s="562">
        <f t="shared" si="149"/>
        <v>2.8000000000000001E-2</v>
      </c>
      <c r="X370" s="562">
        <f t="shared" si="149"/>
        <v>0.24099999999999999</v>
      </c>
      <c r="Y370" s="125" t="s">
        <v>653</v>
      </c>
      <c r="Z370" s="130">
        <v>0.1</v>
      </c>
      <c r="AA370" s="125"/>
    </row>
    <row r="371" spans="2:27">
      <c r="B371" s="684" t="s">
        <v>444</v>
      </c>
      <c r="C371" s="557">
        <v>369.74755991694974</v>
      </c>
      <c r="D371" s="402"/>
      <c r="E371" s="130" t="s">
        <v>444</v>
      </c>
      <c r="F371" s="461">
        <v>0.57999999999999996</v>
      </c>
      <c r="G371" s="529">
        <v>0.06</v>
      </c>
      <c r="H371" s="529">
        <v>0</v>
      </c>
      <c r="I371" s="529">
        <v>0</v>
      </c>
      <c r="J371" s="529">
        <v>0</v>
      </c>
      <c r="K371" s="529">
        <v>0.94</v>
      </c>
      <c r="L371" s="125" t="str">
        <f>M393</f>
        <v>Central_America</v>
      </c>
      <c r="M371" s="130"/>
      <c r="N371" s="562">
        <f t="shared" ref="N371:X371" si="150">N393</f>
        <v>0.627</v>
      </c>
      <c r="O371" s="562">
        <f t="shared" si="150"/>
        <v>0</v>
      </c>
      <c r="P371" s="562">
        <f t="shared" si="150"/>
        <v>0.126</v>
      </c>
      <c r="Q371" s="562">
        <f t="shared" si="150"/>
        <v>3.0000000000000001E-3</v>
      </c>
      <c r="R371" s="562">
        <f t="shared" si="150"/>
        <v>2.1999999999999999E-2</v>
      </c>
      <c r="S371" s="562">
        <f t="shared" si="150"/>
        <v>0</v>
      </c>
      <c r="T371" s="562">
        <f t="shared" si="150"/>
        <v>0</v>
      </c>
      <c r="U371" s="562">
        <f t="shared" si="150"/>
        <v>0.10299999999999999</v>
      </c>
      <c r="V371" s="562">
        <f t="shared" si="150"/>
        <v>2.7E-2</v>
      </c>
      <c r="W371" s="562">
        <f t="shared" si="150"/>
        <v>3.3000000000000002E-2</v>
      </c>
      <c r="X371" s="562">
        <f t="shared" si="150"/>
        <v>0.06</v>
      </c>
      <c r="Y371" s="125" t="s">
        <v>653</v>
      </c>
      <c r="Z371" s="130">
        <v>1.4</v>
      </c>
      <c r="AA371" s="125"/>
    </row>
    <row r="372" spans="2:27">
      <c r="B372" s="684" t="s">
        <v>312</v>
      </c>
      <c r="C372" s="557">
        <v>347.80278400693936</v>
      </c>
      <c r="D372" s="402"/>
      <c r="E372" s="560" t="s">
        <v>312</v>
      </c>
      <c r="F372" s="461">
        <v>0.3</v>
      </c>
      <c r="G372" s="529">
        <v>0.45</v>
      </c>
      <c r="H372" s="529">
        <v>0.5</v>
      </c>
      <c r="I372" s="529">
        <v>0</v>
      </c>
      <c r="J372" s="529">
        <v>0</v>
      </c>
      <c r="K372" s="529">
        <v>0.05</v>
      </c>
      <c r="L372" s="125" t="str">
        <f>M400</f>
        <v>Northern_Africa</v>
      </c>
      <c r="M372" s="130" t="s">
        <v>312</v>
      </c>
      <c r="N372" s="561">
        <v>0.64400000000000002</v>
      </c>
      <c r="O372" s="561">
        <v>0</v>
      </c>
      <c r="P372" s="561">
        <v>8.8999999999999996E-2</v>
      </c>
      <c r="Q372" s="561">
        <v>0</v>
      </c>
      <c r="R372" s="561">
        <v>0</v>
      </c>
      <c r="S372" s="561">
        <v>0</v>
      </c>
      <c r="T372" s="561">
        <v>0</v>
      </c>
      <c r="U372" s="561">
        <v>8.8999999999999996E-2</v>
      </c>
      <c r="V372" s="561">
        <v>0.02</v>
      </c>
      <c r="W372" s="561">
        <v>0.03</v>
      </c>
      <c r="X372" s="561">
        <v>0.129</v>
      </c>
      <c r="Y372" s="125"/>
      <c r="Z372" s="130">
        <v>11.8</v>
      </c>
      <c r="AA372" s="125"/>
    </row>
    <row r="373" spans="2:27">
      <c r="B373" s="684" t="s">
        <v>309</v>
      </c>
      <c r="C373" s="557">
        <v>308.80892108595197</v>
      </c>
      <c r="D373" s="402"/>
      <c r="E373" s="560" t="s">
        <v>309</v>
      </c>
      <c r="F373" s="461">
        <v>0.41</v>
      </c>
      <c r="G373" s="529">
        <v>0</v>
      </c>
      <c r="H373" s="529">
        <v>0.84</v>
      </c>
      <c r="I373" s="529">
        <v>0</v>
      </c>
      <c r="J373" s="529">
        <v>0.01</v>
      </c>
      <c r="K373" s="529">
        <v>0.16</v>
      </c>
      <c r="L373" s="125" t="str">
        <f>M411</f>
        <v>Western_Asia</v>
      </c>
      <c r="M373" s="130" t="s">
        <v>309</v>
      </c>
      <c r="N373" s="561">
        <v>0.48699999999999999</v>
      </c>
      <c r="O373" s="561">
        <v>6.8000000000000005E-2</v>
      </c>
      <c r="P373" s="561">
        <v>8.1000000000000003E-2</v>
      </c>
      <c r="Q373" s="561">
        <v>0</v>
      </c>
      <c r="R373" s="561">
        <v>2.9000000000000001E-2</v>
      </c>
      <c r="S373" s="561">
        <v>2.9000000000000001E-2</v>
      </c>
      <c r="T373" s="561">
        <v>0</v>
      </c>
      <c r="U373" s="561">
        <v>5.8999999999999997E-2</v>
      </c>
      <c r="V373" s="561">
        <v>1.4E-2</v>
      </c>
      <c r="W373" s="561">
        <v>3.4000000000000002E-2</v>
      </c>
      <c r="X373" s="561">
        <v>0.19900000000000001</v>
      </c>
      <c r="Y373" s="125"/>
      <c r="Z373" s="130">
        <v>83.8</v>
      </c>
      <c r="AA373" s="125"/>
    </row>
    <row r="374" spans="2:27">
      <c r="B374" s="684" t="s">
        <v>366</v>
      </c>
      <c r="C374" s="557">
        <v>675.6267242516152</v>
      </c>
      <c r="D374" s="402"/>
      <c r="E374" s="560" t="s">
        <v>366</v>
      </c>
      <c r="F374" s="461">
        <v>0.36</v>
      </c>
      <c r="G374" s="93"/>
      <c r="H374" s="93"/>
      <c r="I374" s="93"/>
      <c r="J374" s="93"/>
      <c r="K374" s="93"/>
      <c r="L374" s="125" t="str">
        <f>M394</f>
        <v>Central_Asia</v>
      </c>
      <c r="M374" s="130"/>
      <c r="N374" s="562">
        <f t="shared" ref="N374:X374" si="151">N394</f>
        <v>0.3</v>
      </c>
      <c r="O374" s="562">
        <f t="shared" si="151"/>
        <v>1.4E-2</v>
      </c>
      <c r="P374" s="562">
        <f t="shared" si="151"/>
        <v>0.247</v>
      </c>
      <c r="Q374" s="562">
        <f t="shared" si="151"/>
        <v>2.5000000000000001E-2</v>
      </c>
      <c r="R374" s="562">
        <f t="shared" si="151"/>
        <v>3.5000000000000003E-2</v>
      </c>
      <c r="S374" s="562">
        <f t="shared" si="151"/>
        <v>0</v>
      </c>
      <c r="T374" s="562">
        <f t="shared" si="151"/>
        <v>0</v>
      </c>
      <c r="U374" s="562">
        <f t="shared" si="151"/>
        <v>8.4000000000000005E-2</v>
      </c>
      <c r="V374" s="562">
        <f t="shared" si="151"/>
        <v>8.0000000000000002E-3</v>
      </c>
      <c r="W374" s="562">
        <f t="shared" si="151"/>
        <v>5.8999999999999997E-2</v>
      </c>
      <c r="X374" s="562">
        <f t="shared" si="151"/>
        <v>0.23</v>
      </c>
      <c r="Y374" s="125" t="s">
        <v>653</v>
      </c>
      <c r="Z374" s="130">
        <v>6.1</v>
      </c>
      <c r="AA374" s="125"/>
    </row>
    <row r="375" spans="2:27">
      <c r="B375" s="684" t="s">
        <v>636</v>
      </c>
      <c r="C375" s="557">
        <v>450.59347279180747</v>
      </c>
      <c r="D375" s="402" t="s">
        <v>653</v>
      </c>
      <c r="E375" s="130"/>
      <c r="F375" s="558">
        <f>F392</f>
        <v>0.78</v>
      </c>
      <c r="G375" s="93"/>
      <c r="H375" s="93"/>
      <c r="I375" s="93"/>
      <c r="J375" s="93"/>
      <c r="K375" s="93"/>
      <c r="L375" s="380" t="s">
        <v>661</v>
      </c>
      <c r="M375" s="130"/>
      <c r="N375" s="562">
        <f>N393</f>
        <v>0.627</v>
      </c>
      <c r="O375" s="562">
        <f t="shared" ref="O375:X375" si="152">O393</f>
        <v>0</v>
      </c>
      <c r="P375" s="562">
        <f t="shared" si="152"/>
        <v>0.126</v>
      </c>
      <c r="Q375" s="562">
        <f t="shared" si="152"/>
        <v>3.0000000000000001E-3</v>
      </c>
      <c r="R375" s="562">
        <f t="shared" si="152"/>
        <v>2.1999999999999999E-2</v>
      </c>
      <c r="S375" s="562">
        <f t="shared" si="152"/>
        <v>0</v>
      </c>
      <c r="T375" s="562">
        <f t="shared" si="152"/>
        <v>0</v>
      </c>
      <c r="U375" s="562">
        <f t="shared" si="152"/>
        <v>0.10299999999999999</v>
      </c>
      <c r="V375" s="562">
        <f t="shared" si="152"/>
        <v>2.7E-2</v>
      </c>
      <c r="W375" s="562">
        <f t="shared" si="152"/>
        <v>3.3000000000000002E-2</v>
      </c>
      <c r="X375" s="562">
        <f t="shared" si="152"/>
        <v>0.06</v>
      </c>
      <c r="Y375" s="125" t="s">
        <v>653</v>
      </c>
      <c r="Z375" s="130"/>
      <c r="AA375" s="125"/>
    </row>
    <row r="376" spans="2:27">
      <c r="B376" s="684" t="s">
        <v>637</v>
      </c>
      <c r="C376" s="557">
        <v>496.51779142534491</v>
      </c>
      <c r="D376" s="402" t="s">
        <v>653</v>
      </c>
      <c r="E376" s="130"/>
      <c r="F376" s="564">
        <f>F403</f>
        <v>0.6</v>
      </c>
      <c r="G376" s="558"/>
      <c r="H376" s="558"/>
      <c r="I376" s="558"/>
      <c r="J376" s="558"/>
      <c r="K376" s="558"/>
      <c r="L376" s="380" t="str">
        <f>M403</f>
        <v>Oceania</v>
      </c>
      <c r="M376" s="566"/>
      <c r="N376" s="562">
        <f>N403</f>
        <v>0.25900000000000001</v>
      </c>
      <c r="O376" s="562">
        <f t="shared" ref="O376:X376" si="153">O403</f>
        <v>0.122</v>
      </c>
      <c r="P376" s="562">
        <f t="shared" si="153"/>
        <v>0.12</v>
      </c>
      <c r="Q376" s="562">
        <f t="shared" si="153"/>
        <v>6.5000000000000002E-2</v>
      </c>
      <c r="R376" s="562">
        <f t="shared" si="153"/>
        <v>2.9499999999999998E-2</v>
      </c>
      <c r="S376" s="562">
        <f t="shared" si="153"/>
        <v>3.5000000000000003E-2</v>
      </c>
      <c r="T376" s="562">
        <f t="shared" si="153"/>
        <v>0</v>
      </c>
      <c r="U376" s="562">
        <f t="shared" si="153"/>
        <v>8.3000000000000004E-2</v>
      </c>
      <c r="V376" s="562">
        <f t="shared" si="153"/>
        <v>1.7999999999999999E-2</v>
      </c>
      <c r="W376" s="562">
        <f t="shared" si="153"/>
        <v>2.8000000000000001E-2</v>
      </c>
      <c r="X376" s="562">
        <f t="shared" si="153"/>
        <v>0.24099999999999999</v>
      </c>
      <c r="Y376" s="125" t="s">
        <v>653</v>
      </c>
      <c r="Z376" s="130">
        <v>0.01</v>
      </c>
      <c r="AA376" s="125"/>
    </row>
    <row r="377" spans="2:27">
      <c r="B377" s="684" t="s">
        <v>397</v>
      </c>
      <c r="C377" s="557">
        <v>115.85259002861456</v>
      </c>
      <c r="D377" s="402"/>
      <c r="E377" s="560" t="s">
        <v>397</v>
      </c>
      <c r="F377" s="461">
        <v>0.12</v>
      </c>
      <c r="G377" s="529">
        <v>1</v>
      </c>
      <c r="H377" s="529">
        <v>0</v>
      </c>
      <c r="I377" s="529">
        <v>0</v>
      </c>
      <c r="J377" s="529">
        <v>0</v>
      </c>
      <c r="K377" s="529">
        <v>0</v>
      </c>
      <c r="L377" s="125" t="str">
        <f>M395</f>
        <v>Eastern_Africa</v>
      </c>
      <c r="M377" s="130"/>
      <c r="N377" s="562">
        <f t="shared" ref="N377:X377" si="154">N395</f>
        <v>0.44400000000000001</v>
      </c>
      <c r="O377" s="562">
        <f t="shared" si="154"/>
        <v>6.9000000000000006E-2</v>
      </c>
      <c r="P377" s="562">
        <f t="shared" si="154"/>
        <v>0.104</v>
      </c>
      <c r="Q377" s="562">
        <f t="shared" si="154"/>
        <v>5.0000000000000001E-3</v>
      </c>
      <c r="R377" s="562">
        <f t="shared" si="154"/>
        <v>0.03</v>
      </c>
      <c r="S377" s="562">
        <f t="shared" si="154"/>
        <v>0</v>
      </c>
      <c r="T377" s="562">
        <f t="shared" si="154"/>
        <v>4.0000000000000001E-3</v>
      </c>
      <c r="U377" s="562">
        <f t="shared" si="154"/>
        <v>0.08</v>
      </c>
      <c r="V377" s="562">
        <f t="shared" si="154"/>
        <v>2.5999999999999999E-2</v>
      </c>
      <c r="W377" s="562">
        <f t="shared" si="154"/>
        <v>2.1000000000000001E-2</v>
      </c>
      <c r="X377" s="562">
        <f t="shared" si="154"/>
        <v>0.217</v>
      </c>
      <c r="Y377" s="125" t="s">
        <v>653</v>
      </c>
      <c r="Z377" s="130">
        <v>47.1</v>
      </c>
      <c r="AA377" s="125"/>
    </row>
    <row r="378" spans="2:27">
      <c r="B378" s="684" t="s">
        <v>330</v>
      </c>
      <c r="C378" s="557">
        <v>434.67951906483529</v>
      </c>
      <c r="D378" s="402" t="s">
        <v>653</v>
      </c>
      <c r="E378" s="130"/>
      <c r="F378" s="564">
        <f>+F397</f>
        <v>0.37</v>
      </c>
      <c r="G378" s="558"/>
      <c r="H378" s="558"/>
      <c r="I378" s="558"/>
      <c r="J378" s="558"/>
      <c r="K378" s="558"/>
      <c r="L378" s="125" t="str">
        <f>M397</f>
        <v>Eastern_Europe</v>
      </c>
      <c r="M378" s="130" t="s">
        <v>330</v>
      </c>
      <c r="N378" s="561">
        <v>0.33100000000000002</v>
      </c>
      <c r="O378" s="561">
        <v>3.7999999999999999E-2</v>
      </c>
      <c r="P378" s="561">
        <v>0.14599999999999999</v>
      </c>
      <c r="Q378" s="561">
        <v>1.7000000000000001E-2</v>
      </c>
      <c r="R378" s="561">
        <v>0.04</v>
      </c>
      <c r="S378" s="561">
        <v>1.0999999999999999E-2</v>
      </c>
      <c r="T378" s="561">
        <v>1.7000000000000001E-2</v>
      </c>
      <c r="U378" s="561">
        <v>6.9000000000000006E-2</v>
      </c>
      <c r="V378" s="561">
        <v>0.02</v>
      </c>
      <c r="W378" s="561">
        <v>6.9000000000000006E-2</v>
      </c>
      <c r="X378" s="561">
        <v>0.24199999999999999</v>
      </c>
      <c r="Y378" s="125"/>
      <c r="Z378" s="130">
        <v>41.4</v>
      </c>
      <c r="AA378" s="125"/>
    </row>
    <row r="379" spans="2:27">
      <c r="B379" s="684" t="s">
        <v>310</v>
      </c>
      <c r="C379" s="557">
        <v>310.40054313432529</v>
      </c>
      <c r="D379" s="402"/>
      <c r="E379" s="560" t="s">
        <v>310</v>
      </c>
      <c r="F379" s="461">
        <v>0.61</v>
      </c>
      <c r="G379" s="93"/>
      <c r="H379" s="93"/>
      <c r="I379" s="93"/>
      <c r="J379" s="93"/>
      <c r="K379" s="93"/>
      <c r="L379" s="125" t="str">
        <f>M411</f>
        <v>Western_Asia</v>
      </c>
      <c r="M379" s="130" t="s">
        <v>310</v>
      </c>
      <c r="N379" s="561">
        <v>0.35399999999999998</v>
      </c>
      <c r="O379" s="561">
        <v>0</v>
      </c>
      <c r="P379" s="561">
        <v>0.24299999999999999</v>
      </c>
      <c r="Q379" s="561">
        <v>0.01</v>
      </c>
      <c r="R379" s="561">
        <v>3.2000000000000001E-2</v>
      </c>
      <c r="S379" s="561">
        <v>0</v>
      </c>
      <c r="T379" s="561">
        <v>1.7000000000000001E-2</v>
      </c>
      <c r="U379" s="561">
        <v>0.24199999999999999</v>
      </c>
      <c r="V379" s="561">
        <v>2.4E-2</v>
      </c>
      <c r="W379" s="561">
        <v>3.4000000000000002E-2</v>
      </c>
      <c r="X379" s="561">
        <v>4.3999999999999997E-2</v>
      </c>
      <c r="Y379" s="125"/>
      <c r="Z379" s="130">
        <v>9.8000000000000007</v>
      </c>
      <c r="AA379" s="125"/>
    </row>
    <row r="380" spans="2:27">
      <c r="B380" s="684" t="s">
        <v>638</v>
      </c>
      <c r="C380" s="557">
        <v>218.56929902663236</v>
      </c>
      <c r="D380" s="402"/>
      <c r="E380" s="130" t="s">
        <v>422</v>
      </c>
      <c r="F380" s="461">
        <v>0.51</v>
      </c>
      <c r="G380" s="529">
        <v>0</v>
      </c>
      <c r="H380" s="529">
        <v>0.46</v>
      </c>
      <c r="I380" s="529">
        <v>0.13</v>
      </c>
      <c r="J380" s="529">
        <v>0.15</v>
      </c>
      <c r="K380" s="529">
        <v>0.26</v>
      </c>
      <c r="L380" s="125" t="str">
        <f>M412</f>
        <v>Western_Europe</v>
      </c>
      <c r="M380" s="130" t="s">
        <v>345</v>
      </c>
      <c r="N380" s="561">
        <v>0.21299999999999999</v>
      </c>
      <c r="O380" s="561">
        <v>3.5000000000000003E-2</v>
      </c>
      <c r="P380" s="561">
        <v>0.183</v>
      </c>
      <c r="Q380" s="561">
        <v>5.2999999999999999E-2</v>
      </c>
      <c r="R380" s="561">
        <v>5.6000000000000001E-2</v>
      </c>
      <c r="S380" s="561">
        <v>3.1E-2</v>
      </c>
      <c r="T380" s="561">
        <v>0</v>
      </c>
      <c r="U380" s="561">
        <v>0.18</v>
      </c>
      <c r="V380" s="561">
        <v>3.6999999999999998E-2</v>
      </c>
      <c r="W380" s="561">
        <v>0.03</v>
      </c>
      <c r="X380" s="561">
        <v>0.182</v>
      </c>
      <c r="Y380" s="125"/>
      <c r="Z380" s="130">
        <v>67.5</v>
      </c>
      <c r="AA380" s="125"/>
    </row>
    <row r="381" spans="2:27">
      <c r="B381" s="684" t="s">
        <v>639</v>
      </c>
      <c r="C381" s="557">
        <v>245.91061682998978</v>
      </c>
      <c r="D381" s="402"/>
      <c r="E381" s="130" t="s">
        <v>359</v>
      </c>
      <c r="F381" s="461">
        <v>0.74</v>
      </c>
      <c r="G381" s="529">
        <v>0</v>
      </c>
      <c r="H381" s="529">
        <v>0.54</v>
      </c>
      <c r="I381" s="529">
        <v>0.12</v>
      </c>
      <c r="J381" s="529">
        <v>0.08</v>
      </c>
      <c r="K381" s="529">
        <v>0.26</v>
      </c>
      <c r="L381" s="125" t="str">
        <f>M401</f>
        <v>Northern_America</v>
      </c>
      <c r="M381" s="130" t="s">
        <v>359</v>
      </c>
      <c r="N381" s="561">
        <v>0.216</v>
      </c>
      <c r="O381" s="561">
        <v>7.9000000000000001E-2</v>
      </c>
      <c r="P381" s="561">
        <v>0.14299999999999999</v>
      </c>
      <c r="Q381" s="561">
        <v>8.1000000000000003E-2</v>
      </c>
      <c r="R381" s="561">
        <v>7.6999999999999999E-2</v>
      </c>
      <c r="S381" s="561">
        <v>0</v>
      </c>
      <c r="T381" s="561">
        <v>3.1E-2</v>
      </c>
      <c r="U381" s="561">
        <v>0.185</v>
      </c>
      <c r="V381" s="561">
        <v>9.4E-2</v>
      </c>
      <c r="W381" s="561">
        <v>5.1999999999999998E-2</v>
      </c>
      <c r="X381" s="561">
        <v>4.2000000000000003E-2</v>
      </c>
      <c r="Y381" s="125"/>
      <c r="Z381" s="130">
        <v>332.3</v>
      </c>
      <c r="AA381" s="125"/>
    </row>
    <row r="382" spans="2:27">
      <c r="B382" s="684" t="s">
        <v>460</v>
      </c>
      <c r="C382" s="557">
        <v>64.828543846259706</v>
      </c>
      <c r="D382" s="402"/>
      <c r="E382" s="560" t="s">
        <v>460</v>
      </c>
      <c r="F382" s="461">
        <v>0.04</v>
      </c>
      <c r="G382" s="529">
        <v>0.32</v>
      </c>
      <c r="H382" s="529">
        <v>0.03</v>
      </c>
      <c r="I382" s="529">
        <v>0</v>
      </c>
      <c r="J382" s="529">
        <v>0</v>
      </c>
      <c r="K382" s="529">
        <v>0.66</v>
      </c>
      <c r="L382" s="125" t="str">
        <f>M405</f>
        <v>South_America</v>
      </c>
      <c r="M382" s="125"/>
      <c r="N382" s="563">
        <f t="shared" ref="N382:X382" si="155">N405</f>
        <v>0.54100000000000004</v>
      </c>
      <c r="O382" s="563">
        <f t="shared" si="155"/>
        <v>3.3000000000000002E-2</v>
      </c>
      <c r="P382" s="563">
        <f t="shared" si="155"/>
        <v>0.124</v>
      </c>
      <c r="Q382" s="563">
        <f t="shared" si="155"/>
        <v>0</v>
      </c>
      <c r="R382" s="563">
        <f t="shared" si="155"/>
        <v>1.7000000000000001E-2</v>
      </c>
      <c r="S382" s="563">
        <f t="shared" si="155"/>
        <v>1.9E-2</v>
      </c>
      <c r="T382" s="563">
        <f t="shared" si="155"/>
        <v>6.0000000000000001E-3</v>
      </c>
      <c r="U382" s="563">
        <f t="shared" si="155"/>
        <v>0.13700000000000001</v>
      </c>
      <c r="V382" s="563">
        <f t="shared" si="155"/>
        <v>0.02</v>
      </c>
      <c r="W382" s="563">
        <f t="shared" si="155"/>
        <v>0.03</v>
      </c>
      <c r="X382" s="563">
        <f t="shared" si="155"/>
        <v>7.1999999999999995E-2</v>
      </c>
      <c r="Y382" s="125" t="s">
        <v>653</v>
      </c>
      <c r="Z382" s="130">
        <v>3.5</v>
      </c>
      <c r="AA382" s="125"/>
    </row>
    <row r="383" spans="2:27">
      <c r="B383" s="684" t="s">
        <v>285</v>
      </c>
      <c r="C383" s="557">
        <v>467.37279085958721</v>
      </c>
      <c r="D383" s="402" t="s">
        <v>653</v>
      </c>
      <c r="E383" s="125"/>
      <c r="F383" s="571">
        <f>F394</f>
        <v>0.34</v>
      </c>
      <c r="G383" s="558"/>
      <c r="H383" s="558"/>
      <c r="I383" s="558"/>
      <c r="J383" s="558"/>
      <c r="K383" s="558"/>
      <c r="L383" s="125" t="str">
        <f>M394</f>
        <v>Central_Asia</v>
      </c>
      <c r="M383" s="130" t="s">
        <v>285</v>
      </c>
      <c r="N383" s="561">
        <v>0.38400000000000001</v>
      </c>
      <c r="O383" s="561">
        <v>0</v>
      </c>
      <c r="P383" s="561">
        <v>0.22800000000000001</v>
      </c>
      <c r="Q383" s="561">
        <v>4.9000000000000002E-2</v>
      </c>
      <c r="R383" s="561">
        <v>0</v>
      </c>
      <c r="S383" s="561"/>
      <c r="T383" s="561"/>
      <c r="U383" s="561"/>
      <c r="V383" s="561"/>
      <c r="W383" s="561"/>
      <c r="X383" s="561">
        <v>0.34</v>
      </c>
      <c r="Y383" s="125"/>
      <c r="Z383" s="130">
        <v>34.9</v>
      </c>
      <c r="AA383" s="125"/>
    </row>
    <row r="384" spans="2:27">
      <c r="B384" s="684" t="s">
        <v>640</v>
      </c>
      <c r="C384" s="557">
        <v>504.18072672613846</v>
      </c>
      <c r="D384" s="402"/>
      <c r="E384" s="560" t="s">
        <v>466</v>
      </c>
      <c r="F384" s="461">
        <v>1.2</v>
      </c>
      <c r="G384" s="93"/>
      <c r="H384" s="93"/>
      <c r="I384" s="93"/>
      <c r="J384" s="93"/>
      <c r="K384" s="93"/>
      <c r="L384" s="125" t="str">
        <f>M403</f>
        <v>Oceania</v>
      </c>
      <c r="M384" s="130"/>
      <c r="N384" s="562">
        <f t="shared" ref="N384:X384" si="156">N403</f>
        <v>0.25900000000000001</v>
      </c>
      <c r="O384" s="562">
        <f t="shared" si="156"/>
        <v>0.122</v>
      </c>
      <c r="P384" s="562">
        <f t="shared" si="156"/>
        <v>0.12</v>
      </c>
      <c r="Q384" s="562">
        <f t="shared" si="156"/>
        <v>6.5000000000000002E-2</v>
      </c>
      <c r="R384" s="562">
        <f t="shared" si="156"/>
        <v>2.9499999999999998E-2</v>
      </c>
      <c r="S384" s="562">
        <f t="shared" si="156"/>
        <v>3.5000000000000003E-2</v>
      </c>
      <c r="T384" s="562">
        <f t="shared" si="156"/>
        <v>0</v>
      </c>
      <c r="U384" s="562">
        <f t="shared" si="156"/>
        <v>8.3000000000000004E-2</v>
      </c>
      <c r="V384" s="562">
        <f t="shared" si="156"/>
        <v>1.7999999999999999E-2</v>
      </c>
      <c r="W384" s="562">
        <f t="shared" si="156"/>
        <v>2.8000000000000001E-2</v>
      </c>
      <c r="X384" s="562">
        <f t="shared" si="156"/>
        <v>0.24099999999999999</v>
      </c>
      <c r="Y384" s="125" t="s">
        <v>653</v>
      </c>
      <c r="Z384" s="130">
        <v>0.3</v>
      </c>
      <c r="AA384" s="125"/>
    </row>
    <row r="385" spans="2:28">
      <c r="B385" s="684" t="s">
        <v>641</v>
      </c>
      <c r="C385" s="557">
        <v>367.75218932752193</v>
      </c>
      <c r="D385" s="402"/>
      <c r="E385" s="560" t="s">
        <v>461</v>
      </c>
      <c r="F385" s="461">
        <v>0.42</v>
      </c>
      <c r="G385" s="529">
        <v>0.59</v>
      </c>
      <c r="H385" s="529">
        <v>0</v>
      </c>
      <c r="I385" s="529">
        <v>0</v>
      </c>
      <c r="J385" s="529">
        <v>0</v>
      </c>
      <c r="K385" s="529">
        <v>0.41</v>
      </c>
      <c r="L385" s="125" t="str">
        <f>M405</f>
        <v>South_America</v>
      </c>
      <c r="M385" s="130"/>
      <c r="N385" s="562">
        <f t="shared" ref="N385:X385" si="157">N405</f>
        <v>0.54100000000000004</v>
      </c>
      <c r="O385" s="562">
        <f t="shared" si="157"/>
        <v>3.3000000000000002E-2</v>
      </c>
      <c r="P385" s="562">
        <f t="shared" si="157"/>
        <v>0.124</v>
      </c>
      <c r="Q385" s="562">
        <f t="shared" si="157"/>
        <v>0</v>
      </c>
      <c r="R385" s="562">
        <f t="shared" si="157"/>
        <v>1.7000000000000001E-2</v>
      </c>
      <c r="S385" s="562">
        <f t="shared" si="157"/>
        <v>1.9E-2</v>
      </c>
      <c r="T385" s="562">
        <f t="shared" si="157"/>
        <v>6.0000000000000001E-3</v>
      </c>
      <c r="U385" s="562">
        <f t="shared" si="157"/>
        <v>0.13700000000000001</v>
      </c>
      <c r="V385" s="562">
        <f t="shared" si="157"/>
        <v>0.02</v>
      </c>
      <c r="W385" s="562">
        <f t="shared" si="157"/>
        <v>0.03</v>
      </c>
      <c r="X385" s="562">
        <f t="shared" si="157"/>
        <v>7.1999999999999995E-2</v>
      </c>
      <c r="Y385" s="125" t="s">
        <v>653</v>
      </c>
      <c r="Z385" s="130">
        <v>29.1</v>
      </c>
      <c r="AA385" s="125"/>
    </row>
    <row r="386" spans="2:28">
      <c r="B386" s="684" t="s">
        <v>298</v>
      </c>
      <c r="C386" s="557">
        <v>380.80799846500122</v>
      </c>
      <c r="D386" s="402"/>
      <c r="E386" s="560" t="s">
        <v>298</v>
      </c>
      <c r="F386" s="461">
        <v>0.53</v>
      </c>
      <c r="G386" s="93"/>
      <c r="H386" s="93"/>
      <c r="I386" s="93"/>
      <c r="J386" s="93"/>
      <c r="K386" s="93"/>
      <c r="L386" s="125" t="str">
        <f>M406</f>
        <v>South_Eastern_Asia</v>
      </c>
      <c r="M386" s="130" t="s">
        <v>298</v>
      </c>
      <c r="N386" s="561">
        <v>0.42699999999999999</v>
      </c>
      <c r="O386" s="561">
        <v>0.05</v>
      </c>
      <c r="P386" s="561">
        <v>0.107</v>
      </c>
      <c r="Q386" s="561">
        <v>0</v>
      </c>
      <c r="R386" s="561">
        <v>0</v>
      </c>
      <c r="S386" s="561">
        <v>0</v>
      </c>
      <c r="T386" s="561">
        <v>0</v>
      </c>
      <c r="U386" s="561">
        <v>0.129</v>
      </c>
      <c r="V386" s="561">
        <v>1.0999999999999999E-2</v>
      </c>
      <c r="W386" s="561">
        <v>5.8000000000000003E-2</v>
      </c>
      <c r="X386" s="561">
        <v>0.219</v>
      </c>
      <c r="Y386" s="125"/>
      <c r="Z386" s="130">
        <v>100.2</v>
      </c>
      <c r="AA386" s="125"/>
    </row>
    <row r="387" spans="2:28">
      <c r="B387" s="684" t="s">
        <v>642</v>
      </c>
      <c r="C387" s="557">
        <v>373.01492578103989</v>
      </c>
      <c r="D387" s="402" t="s">
        <v>653</v>
      </c>
      <c r="E387" s="130"/>
      <c r="F387" s="558">
        <f>F392</f>
        <v>0.78</v>
      </c>
      <c r="G387" s="93"/>
      <c r="H387" s="93"/>
      <c r="I387" s="93"/>
      <c r="J387" s="93"/>
      <c r="K387" s="93"/>
      <c r="L387" s="380" t="s">
        <v>661</v>
      </c>
      <c r="M387" s="130"/>
      <c r="N387" s="562">
        <f>N393</f>
        <v>0.627</v>
      </c>
      <c r="O387" s="562">
        <f t="shared" ref="O387:X387" si="158">O393</f>
        <v>0</v>
      </c>
      <c r="P387" s="562">
        <f t="shared" si="158"/>
        <v>0.126</v>
      </c>
      <c r="Q387" s="562">
        <f t="shared" si="158"/>
        <v>3.0000000000000001E-3</v>
      </c>
      <c r="R387" s="562">
        <f t="shared" si="158"/>
        <v>2.1999999999999999E-2</v>
      </c>
      <c r="S387" s="562">
        <f t="shared" si="158"/>
        <v>0</v>
      </c>
      <c r="T387" s="562">
        <f t="shared" si="158"/>
        <v>0</v>
      </c>
      <c r="U387" s="562">
        <f t="shared" si="158"/>
        <v>0.10299999999999999</v>
      </c>
      <c r="V387" s="562">
        <f t="shared" si="158"/>
        <v>2.7E-2</v>
      </c>
      <c r="W387" s="562">
        <f t="shared" si="158"/>
        <v>3.3000000000000002E-2</v>
      </c>
      <c r="X387" s="562">
        <f t="shared" si="158"/>
        <v>0.06</v>
      </c>
      <c r="Y387" s="125" t="s">
        <v>653</v>
      </c>
      <c r="Z387" s="130"/>
      <c r="AA387" s="125"/>
    </row>
    <row r="388" spans="2:28">
      <c r="B388" s="684" t="s">
        <v>643</v>
      </c>
      <c r="C388" s="557">
        <v>614.56213289092454</v>
      </c>
      <c r="D388" s="402" t="s">
        <v>653</v>
      </c>
      <c r="E388" s="130"/>
      <c r="F388" s="564">
        <f>F411</f>
        <v>0.69</v>
      </c>
      <c r="G388" s="558"/>
      <c r="H388" s="558"/>
      <c r="I388" s="558"/>
      <c r="J388" s="558"/>
      <c r="K388" s="558"/>
      <c r="L388" s="380" t="str">
        <f>M411</f>
        <v>Western_Asia</v>
      </c>
      <c r="M388" s="566"/>
      <c r="N388" s="562">
        <f>N411</f>
        <v>0.42199999999999999</v>
      </c>
      <c r="O388" s="562">
        <f t="shared" ref="O388:X388" si="159">O411</f>
        <v>3.2000000000000001E-2</v>
      </c>
      <c r="P388" s="562">
        <f t="shared" si="159"/>
        <v>0.153</v>
      </c>
      <c r="Q388" s="562">
        <f t="shared" si="159"/>
        <v>8.0000000000000002E-3</v>
      </c>
      <c r="R388" s="562">
        <f t="shared" si="159"/>
        <v>0.03</v>
      </c>
      <c r="S388" s="562">
        <f t="shared" si="159"/>
        <v>4.0000000000000001E-3</v>
      </c>
      <c r="T388" s="562">
        <f t="shared" si="159"/>
        <v>3.0000000000000001E-3</v>
      </c>
      <c r="U388" s="562">
        <f t="shared" si="159"/>
        <v>0.17199999999999999</v>
      </c>
      <c r="V388" s="562">
        <f t="shared" si="159"/>
        <v>2.5000000000000001E-2</v>
      </c>
      <c r="W388" s="562">
        <f t="shared" si="159"/>
        <v>3.4000000000000002E-2</v>
      </c>
      <c r="X388" s="562">
        <f t="shared" si="159"/>
        <v>0.11799999999999999</v>
      </c>
      <c r="Y388" s="125" t="s">
        <v>653</v>
      </c>
      <c r="Z388" s="130">
        <v>30.5</v>
      </c>
      <c r="AA388" s="125"/>
    </row>
    <row r="389" spans="2:28">
      <c r="B389" s="684" t="s">
        <v>316</v>
      </c>
      <c r="C389" s="557">
        <v>196.99130651213528</v>
      </c>
      <c r="D389" s="402"/>
      <c r="E389" s="560" t="s">
        <v>316</v>
      </c>
      <c r="F389" s="461">
        <v>0.08</v>
      </c>
      <c r="G389" s="93"/>
      <c r="H389" s="93"/>
      <c r="I389" s="93"/>
      <c r="J389" s="93"/>
      <c r="K389" s="93"/>
      <c r="L389" s="125" t="str">
        <f>M395</f>
        <v>Eastern_Africa</v>
      </c>
      <c r="M389" s="130" t="s">
        <v>316</v>
      </c>
      <c r="N389" s="561">
        <v>0.39</v>
      </c>
      <c r="O389" s="561">
        <v>0</v>
      </c>
      <c r="P389" s="561">
        <v>0.03</v>
      </c>
      <c r="Q389" s="561">
        <v>0</v>
      </c>
      <c r="R389" s="561">
        <v>0</v>
      </c>
      <c r="S389" s="561">
        <v>0</v>
      </c>
      <c r="T389" s="561">
        <v>0</v>
      </c>
      <c r="U389" s="561">
        <v>7.0000000000000007E-2</v>
      </c>
      <c r="V389" s="561">
        <v>0.01</v>
      </c>
      <c r="W389" s="561">
        <v>0.02</v>
      </c>
      <c r="X389" s="561">
        <v>0.48</v>
      </c>
      <c r="Y389" s="125"/>
      <c r="Z389" s="130">
        <v>19.100000000000001</v>
      </c>
      <c r="AA389" s="125"/>
    </row>
    <row r="390" spans="2:28">
      <c r="B390" s="684" t="s">
        <v>317</v>
      </c>
      <c r="C390" s="557">
        <v>880.25359635548079</v>
      </c>
      <c r="D390" s="402"/>
      <c r="E390" s="560" t="s">
        <v>317</v>
      </c>
      <c r="F390" s="461">
        <v>0.19</v>
      </c>
      <c r="G390" s="93"/>
      <c r="H390" s="93"/>
      <c r="I390" s="93"/>
      <c r="J390" s="93"/>
      <c r="K390" s="93"/>
      <c r="L390" s="125" t="str">
        <f>M395</f>
        <v>Eastern_Africa</v>
      </c>
      <c r="M390" s="130" t="s">
        <v>317</v>
      </c>
      <c r="N390" s="561">
        <v>0.32</v>
      </c>
      <c r="O390" s="561">
        <v>0</v>
      </c>
      <c r="P390" s="561">
        <v>0.18</v>
      </c>
      <c r="Q390" s="561">
        <v>0</v>
      </c>
      <c r="R390" s="561">
        <v>0.06</v>
      </c>
      <c r="S390" s="561">
        <v>0</v>
      </c>
      <c r="T390" s="561">
        <v>0.02</v>
      </c>
      <c r="U390" s="561">
        <v>0</v>
      </c>
      <c r="V390" s="561">
        <v>7.0000000000000007E-2</v>
      </c>
      <c r="W390" s="561">
        <v>0.02</v>
      </c>
      <c r="X390" s="561">
        <v>0.33</v>
      </c>
      <c r="Y390" s="125"/>
      <c r="Z390" s="130">
        <v>15.1</v>
      </c>
      <c r="AA390" s="125"/>
    </row>
    <row r="391" spans="2:28">
      <c r="B391" s="125"/>
      <c r="C391" s="97"/>
      <c r="D391" s="125"/>
      <c r="E391" s="125"/>
      <c r="F391" s="97"/>
      <c r="G391" s="97"/>
      <c r="H391" s="97"/>
      <c r="I391" s="97"/>
      <c r="J391" s="97"/>
      <c r="K391" s="97"/>
      <c r="L391" s="125"/>
      <c r="M391" s="125"/>
      <c r="N391" s="125"/>
      <c r="O391" s="125"/>
      <c r="P391" s="125"/>
      <c r="Q391" s="125"/>
      <c r="R391" s="125"/>
      <c r="S391" s="125"/>
      <c r="T391" s="125"/>
      <c r="U391" s="125"/>
      <c r="V391" s="125"/>
      <c r="W391" s="125"/>
      <c r="X391" s="125"/>
      <c r="Y391" s="125"/>
      <c r="Z391" s="125"/>
      <c r="AA391" s="125"/>
    </row>
    <row r="392" spans="2:28">
      <c r="B392" s="125"/>
      <c r="C392" s="97"/>
      <c r="D392" s="125"/>
      <c r="E392" s="572" t="s">
        <v>430</v>
      </c>
      <c r="F392" s="573">
        <v>0.78</v>
      </c>
      <c r="G392" s="574">
        <v>0.03</v>
      </c>
      <c r="H392" s="574">
        <v>0.78</v>
      </c>
      <c r="I392" s="574">
        <v>0</v>
      </c>
      <c r="J392" s="574">
        <v>0.01</v>
      </c>
      <c r="K392" s="574">
        <v>0.18</v>
      </c>
      <c r="L392" s="125"/>
      <c r="M392" s="380" t="s">
        <v>445</v>
      </c>
      <c r="N392" s="125"/>
      <c r="O392" s="125"/>
      <c r="P392" s="125"/>
      <c r="Q392" s="125"/>
      <c r="R392" s="125"/>
      <c r="S392" s="125"/>
      <c r="T392" s="125"/>
      <c r="U392" s="125"/>
      <c r="V392" s="125"/>
      <c r="W392" s="125"/>
      <c r="X392" s="125"/>
      <c r="Y392" s="125"/>
      <c r="Z392" s="125"/>
      <c r="AA392" s="125"/>
    </row>
    <row r="393" spans="2:28">
      <c r="B393" s="125"/>
      <c r="C393" s="97"/>
      <c r="D393" s="125"/>
      <c r="E393" s="575" t="s">
        <v>485</v>
      </c>
      <c r="F393" s="573">
        <v>0.55000000000000004</v>
      </c>
      <c r="G393" s="576">
        <v>0.13</v>
      </c>
      <c r="H393" s="576">
        <v>0.62</v>
      </c>
      <c r="I393" s="576">
        <v>0</v>
      </c>
      <c r="J393" s="576">
        <v>0</v>
      </c>
      <c r="K393" s="576">
        <v>0.25</v>
      </c>
      <c r="L393" s="125"/>
      <c r="M393" s="577" t="s">
        <v>485</v>
      </c>
      <c r="N393" s="578">
        <v>0.627</v>
      </c>
      <c r="O393" s="578">
        <v>0</v>
      </c>
      <c r="P393" s="578">
        <v>0.126</v>
      </c>
      <c r="Q393" s="578">
        <v>3.0000000000000001E-3</v>
      </c>
      <c r="R393" s="578">
        <v>2.1999999999999999E-2</v>
      </c>
      <c r="S393" s="578">
        <v>0</v>
      </c>
      <c r="T393" s="578">
        <v>0</v>
      </c>
      <c r="U393" s="578">
        <v>0.10299999999999999</v>
      </c>
      <c r="V393" s="578">
        <v>2.7E-2</v>
      </c>
      <c r="W393" s="578">
        <v>3.3000000000000002E-2</v>
      </c>
      <c r="X393" s="578">
        <v>0.06</v>
      </c>
      <c r="Y393" s="125"/>
      <c r="Z393" s="125"/>
      <c r="AA393" s="125"/>
    </row>
    <row r="394" spans="2:28">
      <c r="B394" s="125"/>
      <c r="C394" s="97"/>
      <c r="D394" s="125"/>
      <c r="E394" s="579" t="s">
        <v>471</v>
      </c>
      <c r="F394" s="93">
        <v>0.34</v>
      </c>
      <c r="G394" s="93"/>
      <c r="H394" s="93"/>
      <c r="I394" s="93"/>
      <c r="J394" s="93"/>
      <c r="K394" s="93"/>
      <c r="L394" s="125"/>
      <c r="M394" s="580" t="s">
        <v>471</v>
      </c>
      <c r="N394" s="578">
        <v>0.3</v>
      </c>
      <c r="O394" s="578">
        <v>1.4E-2</v>
      </c>
      <c r="P394" s="578">
        <v>0.247</v>
      </c>
      <c r="Q394" s="578">
        <v>2.5000000000000001E-2</v>
      </c>
      <c r="R394" s="578">
        <v>3.5000000000000003E-2</v>
      </c>
      <c r="S394" s="578">
        <v>0</v>
      </c>
      <c r="T394" s="578">
        <v>0</v>
      </c>
      <c r="U394" s="578">
        <v>8.4000000000000005E-2</v>
      </c>
      <c r="V394" s="578">
        <v>8.0000000000000002E-3</v>
      </c>
      <c r="W394" s="578">
        <v>5.8999999999999997E-2</v>
      </c>
      <c r="X394" s="578">
        <v>0.23</v>
      </c>
      <c r="Y394" s="125"/>
      <c r="Z394" s="125"/>
      <c r="AA394" s="125"/>
    </row>
    <row r="395" spans="2:28">
      <c r="B395" s="125"/>
      <c r="C395" s="97"/>
      <c r="D395" s="125"/>
      <c r="E395" s="575" t="s">
        <v>477</v>
      </c>
      <c r="F395" s="573">
        <v>0.28999999999999998</v>
      </c>
      <c r="G395" s="576">
        <v>0.98</v>
      </c>
      <c r="H395" s="576">
        <v>0</v>
      </c>
      <c r="I395" s="576">
        <v>0</v>
      </c>
      <c r="J395" s="576">
        <v>0.01</v>
      </c>
      <c r="K395" s="576">
        <v>0.01</v>
      </c>
      <c r="L395" s="125"/>
      <c r="M395" s="577" t="s">
        <v>477</v>
      </c>
      <c r="N395" s="578">
        <v>0.44400000000000001</v>
      </c>
      <c r="O395" s="578">
        <v>6.9000000000000006E-2</v>
      </c>
      <c r="P395" s="578">
        <v>0.104</v>
      </c>
      <c r="Q395" s="578">
        <v>5.0000000000000001E-3</v>
      </c>
      <c r="R395" s="578">
        <v>0.03</v>
      </c>
      <c r="S395" s="578">
        <v>0</v>
      </c>
      <c r="T395" s="578">
        <v>4.0000000000000001E-3</v>
      </c>
      <c r="U395" s="578">
        <v>0.08</v>
      </c>
      <c r="V395" s="578">
        <v>2.5999999999999999E-2</v>
      </c>
      <c r="W395" s="578">
        <v>2.1000000000000001E-2</v>
      </c>
      <c r="X395" s="578">
        <v>0.217</v>
      </c>
      <c r="Y395" s="125"/>
      <c r="Z395" s="125"/>
      <c r="AA395" s="125"/>
    </row>
    <row r="396" spans="2:28">
      <c r="B396" s="125"/>
      <c r="C396" s="97"/>
      <c r="D396" s="125"/>
      <c r="E396" s="579" t="s">
        <v>472</v>
      </c>
      <c r="F396" s="93">
        <v>0.48</v>
      </c>
      <c r="G396" s="576">
        <v>0</v>
      </c>
      <c r="H396" s="576">
        <v>0.23</v>
      </c>
      <c r="I396" s="576">
        <v>0.24</v>
      </c>
      <c r="J396" s="576">
        <v>0</v>
      </c>
      <c r="K396" s="576">
        <v>0.52</v>
      </c>
      <c r="L396" s="125"/>
      <c r="M396" s="580" t="s">
        <v>472</v>
      </c>
      <c r="N396" s="578">
        <v>0.40300000000000002</v>
      </c>
      <c r="O396" s="578">
        <v>0</v>
      </c>
      <c r="P396" s="578">
        <v>0.20399999999999999</v>
      </c>
      <c r="Q396" s="578">
        <v>2.1000000000000001E-2</v>
      </c>
      <c r="R396" s="578">
        <v>0.01</v>
      </c>
      <c r="S396" s="578">
        <v>0</v>
      </c>
      <c r="T396" s="578">
        <v>0</v>
      </c>
      <c r="U396" s="578">
        <v>6.5000000000000002E-2</v>
      </c>
      <c r="V396" s="578">
        <v>2.7E-2</v>
      </c>
      <c r="W396" s="578">
        <v>4.2999999999999997E-2</v>
      </c>
      <c r="X396" s="578">
        <v>0.22900000000000001</v>
      </c>
      <c r="Y396" s="125"/>
      <c r="Z396" s="125"/>
      <c r="AA396" s="125"/>
      <c r="AB396" s="125"/>
    </row>
    <row r="397" spans="2:28">
      <c r="B397" s="125"/>
      <c r="C397" s="97"/>
      <c r="D397" s="125"/>
      <c r="E397" s="575" t="s">
        <v>481</v>
      </c>
      <c r="F397" s="573">
        <v>0.37</v>
      </c>
      <c r="G397" s="576">
        <v>0</v>
      </c>
      <c r="H397" s="576">
        <v>0.71</v>
      </c>
      <c r="I397" s="576">
        <v>0.06</v>
      </c>
      <c r="J397" s="576">
        <v>0.04</v>
      </c>
      <c r="K397" s="576">
        <v>0.19</v>
      </c>
      <c r="L397" s="125"/>
      <c r="M397" s="577" t="s">
        <v>481</v>
      </c>
      <c r="N397" s="578">
        <v>0.318</v>
      </c>
      <c r="O397" s="578">
        <v>2.4E-2</v>
      </c>
      <c r="P397" s="578">
        <v>0.17100000000000001</v>
      </c>
      <c r="Q397" s="578">
        <v>2.5000000000000001E-2</v>
      </c>
      <c r="R397" s="578">
        <v>3.1E-2</v>
      </c>
      <c r="S397" s="578">
        <v>5.0000000000000001E-3</v>
      </c>
      <c r="T397" s="578">
        <v>5.0000000000000001E-3</v>
      </c>
      <c r="U397" s="578">
        <v>4.5999999999999999E-2</v>
      </c>
      <c r="V397" s="578">
        <v>7.0000000000000001E-3</v>
      </c>
      <c r="W397" s="578">
        <v>1.7999999999999999E-2</v>
      </c>
      <c r="X397" s="578">
        <v>0.35299999999999998</v>
      </c>
      <c r="Y397" s="125"/>
      <c r="Z397" s="125"/>
      <c r="AA397" s="125"/>
      <c r="AB397" s="125"/>
    </row>
    <row r="398" spans="2:28">
      <c r="B398" s="125"/>
      <c r="C398" s="97"/>
      <c r="D398" s="125"/>
      <c r="E398" s="572" t="s">
        <v>463</v>
      </c>
      <c r="F398" s="573">
        <v>1.18</v>
      </c>
      <c r="G398" s="574"/>
      <c r="H398" s="574"/>
      <c r="I398" s="574">
        <v>0</v>
      </c>
      <c r="J398" s="574">
        <v>0</v>
      </c>
      <c r="K398" s="574"/>
      <c r="L398" s="125"/>
      <c r="M398" s="573"/>
      <c r="N398" s="581"/>
      <c r="O398" s="581"/>
      <c r="P398" s="581"/>
      <c r="Q398" s="581"/>
      <c r="R398" s="581"/>
      <c r="S398" s="581"/>
      <c r="T398" s="581"/>
      <c r="U398" s="581"/>
      <c r="V398" s="581"/>
      <c r="W398" s="581"/>
      <c r="X398" s="581"/>
      <c r="Y398" s="97"/>
      <c r="Z398" s="125"/>
      <c r="AA398" s="125"/>
      <c r="AB398" s="125"/>
    </row>
    <row r="399" spans="2:28">
      <c r="B399" s="125"/>
      <c r="C399" s="97"/>
      <c r="D399" s="125"/>
      <c r="E399" s="575" t="s">
        <v>478</v>
      </c>
      <c r="F399" s="573">
        <v>0.19</v>
      </c>
      <c r="G399" s="576">
        <v>0.95</v>
      </c>
      <c r="H399" s="576">
        <v>0</v>
      </c>
      <c r="I399" s="576">
        <v>0</v>
      </c>
      <c r="J399" s="576">
        <v>0</v>
      </c>
      <c r="K399" s="576">
        <v>0.05</v>
      </c>
      <c r="L399" s="125"/>
      <c r="M399" s="577" t="s">
        <v>478</v>
      </c>
      <c r="N399" s="578">
        <v>0.28399999999999997</v>
      </c>
      <c r="O399" s="578">
        <v>0</v>
      </c>
      <c r="P399" s="578">
        <v>0.08</v>
      </c>
      <c r="Q399" s="578">
        <v>0</v>
      </c>
      <c r="R399" s="578">
        <v>1.2999999999999999E-2</v>
      </c>
      <c r="S399" s="578">
        <v>0</v>
      </c>
      <c r="T399" s="578">
        <v>0</v>
      </c>
      <c r="U399" s="578">
        <v>7.0999999999999994E-2</v>
      </c>
      <c r="V399" s="578">
        <v>1.4E-2</v>
      </c>
      <c r="W399" s="578">
        <v>1.0999999999999999E-2</v>
      </c>
      <c r="X399" s="578">
        <v>0.52700000000000002</v>
      </c>
      <c r="Y399" s="125"/>
      <c r="Z399" s="125"/>
      <c r="AA399" s="125"/>
      <c r="AB399" s="125"/>
    </row>
    <row r="400" spans="2:28">
      <c r="B400" s="125"/>
      <c r="C400" s="97"/>
      <c r="D400" s="125"/>
      <c r="E400" s="575" t="s">
        <v>476</v>
      </c>
      <c r="F400" s="573">
        <v>0.41</v>
      </c>
      <c r="G400" s="576">
        <v>0.79</v>
      </c>
      <c r="H400" s="576">
        <v>0.17</v>
      </c>
      <c r="I400" s="576">
        <v>0</v>
      </c>
      <c r="J400" s="576">
        <v>0</v>
      </c>
      <c r="K400" s="576">
        <v>0.04</v>
      </c>
      <c r="L400" s="125"/>
      <c r="M400" s="577" t="s">
        <v>476</v>
      </c>
      <c r="N400" s="578">
        <v>0.504</v>
      </c>
      <c r="O400" s="578">
        <v>0</v>
      </c>
      <c r="P400" s="578">
        <v>0.121</v>
      </c>
      <c r="Q400" s="578">
        <v>0</v>
      </c>
      <c r="R400" s="578">
        <v>5.8000000000000003E-2</v>
      </c>
      <c r="S400" s="578">
        <v>0</v>
      </c>
      <c r="T400" s="578">
        <v>0</v>
      </c>
      <c r="U400" s="578">
        <v>0.13800000000000001</v>
      </c>
      <c r="V400" s="578">
        <v>4.3999999999999997E-2</v>
      </c>
      <c r="W400" s="578">
        <v>3.3000000000000002E-2</v>
      </c>
      <c r="X400" s="578">
        <v>0.105</v>
      </c>
      <c r="Y400" s="125"/>
      <c r="Z400" s="125"/>
      <c r="AA400" s="125"/>
      <c r="AB400" s="125"/>
    </row>
    <row r="401" spans="2:28">
      <c r="B401" s="125"/>
      <c r="C401" s="97"/>
      <c r="D401" s="125"/>
      <c r="E401" s="575" t="s">
        <v>487</v>
      </c>
      <c r="F401" s="573">
        <v>0.96</v>
      </c>
      <c r="G401" s="576">
        <v>0</v>
      </c>
      <c r="H401" s="576">
        <v>0.22</v>
      </c>
      <c r="I401" s="576">
        <v>0.26</v>
      </c>
      <c r="J401" s="576">
        <v>0.13</v>
      </c>
      <c r="K401" s="576">
        <v>0.38</v>
      </c>
      <c r="L401" s="125"/>
      <c r="M401" s="577" t="s">
        <v>487</v>
      </c>
      <c r="N401" s="578">
        <v>0.20200000000000001</v>
      </c>
      <c r="O401" s="578">
        <v>6.8000000000000005E-2</v>
      </c>
      <c r="P401" s="578">
        <v>0.23300000000000001</v>
      </c>
      <c r="Q401" s="578">
        <v>4.1000000000000002E-2</v>
      </c>
      <c r="R401" s="578">
        <v>3.9E-2</v>
      </c>
      <c r="S401" s="578">
        <v>0</v>
      </c>
      <c r="T401" s="578">
        <v>1.6E-2</v>
      </c>
      <c r="U401" s="578">
        <v>0.158</v>
      </c>
      <c r="V401" s="578">
        <v>6.4000000000000001E-2</v>
      </c>
      <c r="W401" s="578">
        <v>4.2000000000000003E-2</v>
      </c>
      <c r="X401" s="578">
        <v>0.14000000000000001</v>
      </c>
      <c r="Y401" s="125"/>
      <c r="Z401" s="125"/>
      <c r="AA401" s="125"/>
      <c r="AB401" s="125"/>
    </row>
    <row r="402" spans="2:28">
      <c r="B402" s="125"/>
      <c r="C402" s="97"/>
      <c r="D402" s="125"/>
      <c r="E402" s="575" t="s">
        <v>482</v>
      </c>
      <c r="F402" s="573">
        <v>0.48</v>
      </c>
      <c r="G402" s="576">
        <v>0</v>
      </c>
      <c r="H402" s="576">
        <v>0.47</v>
      </c>
      <c r="I402" s="576">
        <v>0.2</v>
      </c>
      <c r="J402" s="576">
        <v>0.09</v>
      </c>
      <c r="K402" s="576">
        <v>0.24</v>
      </c>
      <c r="L402" s="125"/>
      <c r="M402" s="577" t="s">
        <v>482</v>
      </c>
      <c r="N402" s="578">
        <v>0.30299999999999999</v>
      </c>
      <c r="O402" s="578">
        <v>5.1999999999999998E-2</v>
      </c>
      <c r="P402" s="578">
        <v>0.13800000000000001</v>
      </c>
      <c r="Q402" s="578">
        <v>1.7999999999999999E-2</v>
      </c>
      <c r="R402" s="578">
        <v>3.2000000000000001E-2</v>
      </c>
      <c r="S402" s="578">
        <v>1.2E-2</v>
      </c>
      <c r="T402" s="578">
        <v>0</v>
      </c>
      <c r="U402" s="578">
        <v>4.9000000000000002E-2</v>
      </c>
      <c r="V402" s="578">
        <v>1.4E-2</v>
      </c>
      <c r="W402" s="578">
        <v>4.2999999999999997E-2</v>
      </c>
      <c r="X402" s="578">
        <v>0.34</v>
      </c>
      <c r="Y402" s="125"/>
      <c r="Z402" s="125"/>
      <c r="AA402" s="125"/>
      <c r="AB402" s="125"/>
    </row>
    <row r="403" spans="2:28">
      <c r="B403" s="125"/>
      <c r="C403" s="97"/>
      <c r="D403" s="125"/>
      <c r="E403" s="575" t="s">
        <v>510</v>
      </c>
      <c r="F403" s="573">
        <v>0.6</v>
      </c>
      <c r="G403" s="576">
        <v>0</v>
      </c>
      <c r="H403" s="576">
        <v>0.69</v>
      </c>
      <c r="I403" s="576">
        <v>0.04</v>
      </c>
      <c r="J403" s="576"/>
      <c r="K403" s="576">
        <v>0.27</v>
      </c>
      <c r="L403" s="125"/>
      <c r="M403" s="577" t="s">
        <v>510</v>
      </c>
      <c r="N403" s="578">
        <v>0.25900000000000001</v>
      </c>
      <c r="O403" s="578">
        <v>0.122</v>
      </c>
      <c r="P403" s="578">
        <v>0.12</v>
      </c>
      <c r="Q403" s="578">
        <v>6.5000000000000002E-2</v>
      </c>
      <c r="R403" s="578">
        <v>2.9499999999999998E-2</v>
      </c>
      <c r="S403" s="578">
        <v>3.5000000000000003E-2</v>
      </c>
      <c r="T403" s="578">
        <v>0</v>
      </c>
      <c r="U403" s="578">
        <v>8.3000000000000004E-2</v>
      </c>
      <c r="V403" s="578">
        <v>1.7999999999999999E-2</v>
      </c>
      <c r="W403" s="578">
        <v>2.8000000000000001E-2</v>
      </c>
      <c r="X403" s="578">
        <v>0.24099999999999999</v>
      </c>
      <c r="Y403" s="125"/>
      <c r="Z403" s="125"/>
      <c r="AA403" s="125"/>
      <c r="AB403" s="125"/>
    </row>
    <row r="404" spans="2:28">
      <c r="B404" s="125"/>
      <c r="C404" s="97"/>
      <c r="D404" s="125"/>
      <c r="E404" s="572" t="s">
        <v>467</v>
      </c>
      <c r="F404" s="573">
        <v>1.35</v>
      </c>
      <c r="G404" s="573"/>
      <c r="H404" s="93"/>
      <c r="I404" s="93"/>
      <c r="J404" s="93"/>
      <c r="K404" s="93"/>
      <c r="L404" s="125"/>
      <c r="M404" s="573"/>
      <c r="N404" s="581"/>
      <c r="O404" s="581"/>
      <c r="P404" s="581"/>
      <c r="Q404" s="581"/>
      <c r="R404" s="581"/>
      <c r="S404" s="581"/>
      <c r="T404" s="581"/>
      <c r="U404" s="581"/>
      <c r="V404" s="581"/>
      <c r="W404" s="581"/>
      <c r="X404" s="581"/>
      <c r="Y404" s="97"/>
      <c r="Z404" s="125"/>
      <c r="AA404" s="125"/>
      <c r="AB404" s="125"/>
    </row>
    <row r="405" spans="2:28">
      <c r="B405" s="125"/>
      <c r="C405" s="97"/>
      <c r="D405" s="125"/>
      <c r="E405" s="575" t="s">
        <v>486</v>
      </c>
      <c r="F405" s="573">
        <v>0.43</v>
      </c>
      <c r="G405" s="576">
        <v>0.43</v>
      </c>
      <c r="H405" s="576">
        <v>0.4</v>
      </c>
      <c r="I405" s="576">
        <v>0</v>
      </c>
      <c r="J405" s="576">
        <v>0</v>
      </c>
      <c r="K405" s="576">
        <v>0.18</v>
      </c>
      <c r="L405" s="125"/>
      <c r="M405" s="577" t="s">
        <v>486</v>
      </c>
      <c r="N405" s="578">
        <v>0.54100000000000004</v>
      </c>
      <c r="O405" s="578">
        <v>3.3000000000000002E-2</v>
      </c>
      <c r="P405" s="578">
        <v>0.124</v>
      </c>
      <c r="Q405" s="578">
        <v>0</v>
      </c>
      <c r="R405" s="578">
        <v>1.7000000000000001E-2</v>
      </c>
      <c r="S405" s="578">
        <v>1.9E-2</v>
      </c>
      <c r="T405" s="578">
        <v>6.0000000000000001E-3</v>
      </c>
      <c r="U405" s="578">
        <v>0.13700000000000001</v>
      </c>
      <c r="V405" s="578">
        <v>0.02</v>
      </c>
      <c r="W405" s="578">
        <v>0.03</v>
      </c>
      <c r="X405" s="578">
        <v>7.1999999999999995E-2</v>
      </c>
      <c r="Y405" s="125"/>
      <c r="Z405" s="125"/>
      <c r="AA405" s="125"/>
      <c r="AB405" s="125"/>
    </row>
    <row r="406" spans="2:28">
      <c r="B406" s="125"/>
      <c r="C406" s="97"/>
      <c r="D406" s="125"/>
      <c r="E406" s="579" t="s">
        <v>473</v>
      </c>
      <c r="F406" s="93">
        <v>0.46</v>
      </c>
      <c r="G406" s="93"/>
      <c r="H406" s="93"/>
      <c r="I406" s="93"/>
      <c r="J406" s="93"/>
      <c r="K406" s="93"/>
      <c r="L406" s="125"/>
      <c r="M406" s="580" t="s">
        <v>473</v>
      </c>
      <c r="N406" s="578">
        <v>0.499</v>
      </c>
      <c r="O406" s="578">
        <v>0.01</v>
      </c>
      <c r="P406" s="578">
        <v>0.112</v>
      </c>
      <c r="Q406" s="578">
        <v>8.0000000000000002E-3</v>
      </c>
      <c r="R406" s="578">
        <v>4.0000000000000001E-3</v>
      </c>
      <c r="S406" s="578">
        <v>0</v>
      </c>
      <c r="T406" s="578">
        <v>0</v>
      </c>
      <c r="U406" s="578">
        <v>0.10199999999999999</v>
      </c>
      <c r="V406" s="578">
        <v>4.2000000000000003E-2</v>
      </c>
      <c r="W406" s="578">
        <v>3.6999999999999998E-2</v>
      </c>
      <c r="X406" s="578">
        <v>0.186</v>
      </c>
      <c r="Y406" s="125"/>
      <c r="Z406" s="125"/>
      <c r="AA406" s="125"/>
      <c r="AB406" s="125"/>
    </row>
    <row r="407" spans="2:28">
      <c r="B407" s="125"/>
      <c r="C407" s="97"/>
      <c r="D407" s="125"/>
      <c r="E407" s="575" t="s">
        <v>479</v>
      </c>
      <c r="F407" s="573">
        <v>0.33</v>
      </c>
      <c r="G407" s="573"/>
      <c r="H407" s="573"/>
      <c r="I407" s="573"/>
      <c r="J407" s="573"/>
      <c r="K407" s="573"/>
      <c r="L407" s="125"/>
      <c r="M407" s="577" t="s">
        <v>479</v>
      </c>
      <c r="N407" s="578">
        <v>0.24</v>
      </c>
      <c r="O407" s="578">
        <v>0</v>
      </c>
      <c r="P407" s="578">
        <v>0.14499999999999999</v>
      </c>
      <c r="Q407" s="578">
        <v>0</v>
      </c>
      <c r="R407" s="578">
        <v>5.5E-2</v>
      </c>
      <c r="S407" s="578">
        <v>0</v>
      </c>
      <c r="T407" s="578">
        <v>0</v>
      </c>
      <c r="U407" s="578">
        <v>0.26500000000000001</v>
      </c>
      <c r="V407" s="578">
        <v>6.5000000000000002E-2</v>
      </c>
      <c r="W407" s="578">
        <v>0.09</v>
      </c>
      <c r="X407" s="578">
        <v>0.14000000000000001</v>
      </c>
      <c r="Y407" s="125"/>
      <c r="Z407" s="125"/>
      <c r="AA407" s="125"/>
      <c r="AB407" s="125"/>
    </row>
    <row r="408" spans="2:28">
      <c r="B408" s="125"/>
      <c r="C408" s="97"/>
      <c r="D408" s="125"/>
      <c r="E408" s="579" t="s">
        <v>474</v>
      </c>
      <c r="F408" s="93">
        <v>0.5</v>
      </c>
      <c r="G408" s="93"/>
      <c r="H408" s="93"/>
      <c r="I408" s="93"/>
      <c r="J408" s="93"/>
      <c r="K408" s="93"/>
      <c r="L408" s="125"/>
      <c r="M408" s="577" t="s">
        <v>474</v>
      </c>
      <c r="N408" s="578">
        <v>0.66100000000000003</v>
      </c>
      <c r="O408" s="578">
        <v>0</v>
      </c>
      <c r="P408" s="578">
        <v>9.1999999999999998E-2</v>
      </c>
      <c r="Q408" s="578">
        <v>0</v>
      </c>
      <c r="R408" s="578">
        <v>1.2E-2</v>
      </c>
      <c r="S408" s="578">
        <v>0</v>
      </c>
      <c r="T408" s="578">
        <v>4.0000000000000001E-3</v>
      </c>
      <c r="U408" s="578">
        <v>7.0000000000000007E-2</v>
      </c>
      <c r="V408" s="578">
        <v>8.9999999999999993E-3</v>
      </c>
      <c r="W408" s="578">
        <v>1.4999999999999999E-2</v>
      </c>
      <c r="X408" s="578">
        <v>0.13900000000000001</v>
      </c>
      <c r="Y408" s="125"/>
      <c r="Z408" s="125"/>
      <c r="AA408" s="125"/>
      <c r="AB408" s="125"/>
    </row>
    <row r="409" spans="2:28">
      <c r="B409" s="125"/>
      <c r="C409" s="97"/>
      <c r="D409" s="125"/>
      <c r="E409" s="575" t="s">
        <v>483</v>
      </c>
      <c r="F409" s="573">
        <v>0.47</v>
      </c>
      <c r="G409" s="576">
        <v>0</v>
      </c>
      <c r="H409" s="576">
        <v>0.76</v>
      </c>
      <c r="I409" s="576">
        <v>0.04</v>
      </c>
      <c r="J409" s="576">
        <v>0.03</v>
      </c>
      <c r="K409" s="576">
        <v>0.17</v>
      </c>
      <c r="L409" s="125"/>
      <c r="M409" s="577" t="s">
        <v>483</v>
      </c>
      <c r="N409" s="578">
        <v>0.35799999999999998</v>
      </c>
      <c r="O409" s="578">
        <v>1.4E-2</v>
      </c>
      <c r="P409" s="578">
        <v>0.214</v>
      </c>
      <c r="Q409" s="578">
        <v>1.2E-2</v>
      </c>
      <c r="R409" s="578">
        <v>2.8000000000000001E-2</v>
      </c>
      <c r="S409" s="578">
        <v>1.0999999999999999E-2</v>
      </c>
      <c r="T409" s="578">
        <v>2E-3</v>
      </c>
      <c r="U409" s="578">
        <v>0.14099999999999999</v>
      </c>
      <c r="V409" s="578">
        <v>0.02</v>
      </c>
      <c r="W409" s="578">
        <v>3.5000000000000003E-2</v>
      </c>
      <c r="X409" s="578">
        <v>0.16700000000000001</v>
      </c>
      <c r="Y409" s="125"/>
      <c r="Z409" s="125"/>
      <c r="AA409" s="125"/>
      <c r="AB409" s="125"/>
    </row>
    <row r="410" spans="2:28">
      <c r="B410" s="125"/>
      <c r="C410" s="97"/>
      <c r="D410" s="125"/>
      <c r="E410" s="575" t="s">
        <v>480</v>
      </c>
      <c r="F410" s="573">
        <v>0.18</v>
      </c>
      <c r="G410" s="576">
        <v>0</v>
      </c>
      <c r="H410" s="576">
        <v>0.64</v>
      </c>
      <c r="I410" s="576">
        <v>0</v>
      </c>
      <c r="J410" s="576">
        <v>0</v>
      </c>
      <c r="K410" s="576">
        <v>0.36</v>
      </c>
      <c r="L410" s="125"/>
      <c r="M410" s="577" t="s">
        <v>480</v>
      </c>
      <c r="N410" s="578">
        <v>0.53900000000000003</v>
      </c>
      <c r="O410" s="578">
        <v>0</v>
      </c>
      <c r="P410" s="578">
        <v>7.4999999999999997E-2</v>
      </c>
      <c r="Q410" s="578">
        <v>0</v>
      </c>
      <c r="R410" s="578">
        <v>1.9E-2</v>
      </c>
      <c r="S410" s="578">
        <v>0</v>
      </c>
      <c r="T410" s="578">
        <v>0</v>
      </c>
      <c r="U410" s="578">
        <v>6.4000000000000001E-2</v>
      </c>
      <c r="V410" s="578">
        <v>2.7E-2</v>
      </c>
      <c r="W410" s="578">
        <v>1.2999999999999999E-2</v>
      </c>
      <c r="X410" s="578">
        <v>0.26500000000000001</v>
      </c>
      <c r="Y410" s="125"/>
      <c r="Z410" s="125"/>
      <c r="AA410" s="125"/>
      <c r="AB410" s="125"/>
    </row>
    <row r="411" spans="2:28">
      <c r="B411" s="125"/>
      <c r="C411" s="97"/>
      <c r="D411" s="125"/>
      <c r="E411" s="579" t="s">
        <v>475</v>
      </c>
      <c r="F411" s="93">
        <v>0.69</v>
      </c>
      <c r="G411" s="576">
        <v>0.11</v>
      </c>
      <c r="H411" s="576">
        <v>0.68</v>
      </c>
      <c r="I411" s="576">
        <v>0.08</v>
      </c>
      <c r="J411" s="576">
        <v>0.01</v>
      </c>
      <c r="K411" s="576">
        <v>0.12</v>
      </c>
      <c r="L411" s="125"/>
      <c r="M411" s="580" t="s">
        <v>475</v>
      </c>
      <c r="N411" s="578">
        <v>0.42199999999999999</v>
      </c>
      <c r="O411" s="578">
        <v>3.2000000000000001E-2</v>
      </c>
      <c r="P411" s="578">
        <v>0.153</v>
      </c>
      <c r="Q411" s="578">
        <v>8.0000000000000002E-3</v>
      </c>
      <c r="R411" s="578">
        <v>0.03</v>
      </c>
      <c r="S411" s="578">
        <v>4.0000000000000001E-3</v>
      </c>
      <c r="T411" s="578">
        <v>3.0000000000000001E-3</v>
      </c>
      <c r="U411" s="578">
        <v>0.17199999999999999</v>
      </c>
      <c r="V411" s="578">
        <v>2.5000000000000001E-2</v>
      </c>
      <c r="W411" s="578">
        <v>3.4000000000000002E-2</v>
      </c>
      <c r="X411" s="578">
        <v>0.11799999999999999</v>
      </c>
      <c r="Y411" s="125"/>
      <c r="Z411" s="125"/>
      <c r="AA411" s="125"/>
      <c r="AB411" s="125"/>
    </row>
    <row r="412" spans="2:28">
      <c r="B412" s="125"/>
      <c r="C412" s="97"/>
      <c r="D412" s="125"/>
      <c r="E412" s="582" t="s">
        <v>484</v>
      </c>
      <c r="F412" s="583">
        <v>0.59</v>
      </c>
      <c r="G412" s="584">
        <v>0</v>
      </c>
      <c r="H412" s="584">
        <v>0.08</v>
      </c>
      <c r="I412" s="584">
        <v>0.4</v>
      </c>
      <c r="J412" s="584">
        <v>0.21</v>
      </c>
      <c r="K412" s="584">
        <v>0.31</v>
      </c>
      <c r="L412" s="125"/>
      <c r="M412" s="585" t="s">
        <v>484</v>
      </c>
      <c r="N412" s="586">
        <v>0.33200000000000002</v>
      </c>
      <c r="O412" s="586">
        <v>2.7E-2</v>
      </c>
      <c r="P412" s="586">
        <v>0.17199999999999999</v>
      </c>
      <c r="Q412" s="586">
        <v>2.3E-2</v>
      </c>
      <c r="R412" s="586">
        <v>5.8999999999999997E-2</v>
      </c>
      <c r="S412" s="586">
        <v>0.03</v>
      </c>
      <c r="T412" s="586">
        <v>0</v>
      </c>
      <c r="U412" s="586">
        <v>0.20499999999999999</v>
      </c>
      <c r="V412" s="586">
        <v>1.4999999999999999E-2</v>
      </c>
      <c r="W412" s="586">
        <v>1.4E-2</v>
      </c>
      <c r="X412" s="586">
        <v>0.123</v>
      </c>
      <c r="Y412" s="125"/>
      <c r="Z412" s="125"/>
      <c r="AA412" s="125"/>
      <c r="AB412" s="125"/>
    </row>
    <row r="413" spans="2:28">
      <c r="B413" s="125"/>
      <c r="C413" s="97"/>
      <c r="D413" s="125"/>
      <c r="E413" s="394"/>
      <c r="F413" s="587"/>
      <c r="G413" s="587"/>
      <c r="H413" s="587"/>
      <c r="I413" s="587"/>
      <c r="J413" s="587"/>
      <c r="K413" s="587"/>
      <c r="L413" s="588"/>
      <c r="M413" s="588"/>
      <c r="N413" s="589"/>
      <c r="O413" s="589"/>
      <c r="P413" s="589"/>
      <c r="Q413" s="589"/>
      <c r="R413" s="589"/>
      <c r="S413" s="589"/>
      <c r="T413" s="589"/>
      <c r="U413" s="589"/>
      <c r="V413" s="589"/>
      <c r="W413" s="589"/>
      <c r="X413" s="589"/>
      <c r="Y413" s="125"/>
      <c r="Z413" s="125"/>
      <c r="AA413" s="125"/>
      <c r="AB413" s="125"/>
    </row>
    <row r="414" spans="2:28">
      <c r="B414" s="125"/>
      <c r="C414" s="97"/>
      <c r="D414" s="125"/>
      <c r="E414" s="132" t="s">
        <v>367</v>
      </c>
      <c r="F414" s="93">
        <v>0.93</v>
      </c>
      <c r="G414" s="529">
        <v>0</v>
      </c>
      <c r="H414" s="529">
        <v>0.51</v>
      </c>
      <c r="I414" s="529">
        <v>0</v>
      </c>
      <c r="J414" s="529">
        <v>0</v>
      </c>
      <c r="K414" s="529">
        <v>0.49</v>
      </c>
      <c r="L414" s="123"/>
      <c r="M414" s="123"/>
      <c r="N414" s="590"/>
      <c r="O414" s="590"/>
      <c r="P414" s="590"/>
      <c r="Q414" s="590"/>
      <c r="R414" s="590"/>
      <c r="S414" s="590"/>
      <c r="T414" s="590"/>
      <c r="U414" s="590"/>
      <c r="V414" s="590"/>
      <c r="W414" s="590"/>
      <c r="X414" s="590"/>
      <c r="Y414" s="125"/>
      <c r="Z414" s="125"/>
      <c r="AA414" s="125"/>
      <c r="AB414" s="125"/>
    </row>
    <row r="415" spans="2:28">
      <c r="B415" s="125"/>
      <c r="C415" s="97"/>
      <c r="D415" s="125"/>
      <c r="E415" s="132" t="s">
        <v>368</v>
      </c>
      <c r="F415" s="93">
        <v>0.62</v>
      </c>
      <c r="G415" s="529">
        <v>0</v>
      </c>
      <c r="H415" s="529">
        <v>0.23</v>
      </c>
      <c r="I415" s="529">
        <v>0</v>
      </c>
      <c r="J415" s="529">
        <v>0</v>
      </c>
      <c r="K415" s="529">
        <v>0.77</v>
      </c>
      <c r="L415" s="123"/>
      <c r="M415" s="123"/>
      <c r="N415" s="590"/>
      <c r="O415" s="590"/>
      <c r="P415" s="590"/>
      <c r="Q415" s="590"/>
      <c r="R415" s="590"/>
      <c r="S415" s="590"/>
      <c r="T415" s="590"/>
      <c r="U415" s="590"/>
      <c r="V415" s="590"/>
      <c r="W415" s="590"/>
      <c r="X415" s="590"/>
      <c r="Y415" s="125"/>
      <c r="Z415" s="125"/>
      <c r="AA415" s="125"/>
      <c r="AB415" s="125"/>
    </row>
    <row r="416" spans="2:28">
      <c r="B416" s="125"/>
      <c r="C416" s="97"/>
      <c r="D416" s="125"/>
      <c r="E416" s="591" t="s">
        <v>408</v>
      </c>
      <c r="F416" s="93">
        <v>0.19</v>
      </c>
      <c r="G416" s="124"/>
      <c r="H416" s="124"/>
      <c r="I416" s="124"/>
      <c r="J416" s="124"/>
      <c r="K416" s="124"/>
      <c r="L416" s="123"/>
      <c r="M416" s="123"/>
      <c r="N416" s="590"/>
      <c r="O416" s="590"/>
      <c r="P416" s="590"/>
      <c r="Q416" s="590"/>
      <c r="R416" s="590"/>
      <c r="S416" s="590"/>
      <c r="T416" s="590"/>
      <c r="U416" s="590"/>
      <c r="V416" s="590"/>
      <c r="W416" s="590"/>
      <c r="X416" s="590"/>
      <c r="Y416" s="125"/>
      <c r="Z416" s="125"/>
      <c r="AA416" s="125"/>
      <c r="AB416" s="125"/>
    </row>
    <row r="417" spans="1:18" s="484" customFormat="1" ht="13.5" thickBot="1">
      <c r="B417" s="592"/>
      <c r="C417" s="592"/>
      <c r="D417" s="592"/>
      <c r="E417" s="592"/>
      <c r="F417" s="592"/>
      <c r="G417" s="592"/>
      <c r="H417" s="592"/>
      <c r="I417" s="592"/>
      <c r="J417" s="592"/>
      <c r="K417" s="592"/>
      <c r="L417" s="592"/>
      <c r="M417" s="592"/>
      <c r="N417" s="592"/>
      <c r="O417" s="592"/>
      <c r="P417" s="592"/>
      <c r="Q417" s="592"/>
      <c r="R417" s="592"/>
    </row>
    <row r="418" spans="1:18">
      <c r="A418" s="470"/>
      <c r="B418" s="547"/>
      <c r="C418" s="125"/>
      <c r="D418" s="125"/>
    </row>
  </sheetData>
  <sheetProtection password="AAA9" sheet="1" objects="1" scenarios="1"/>
  <mergeCells count="31">
    <mergeCell ref="B132:B133"/>
    <mergeCell ref="D132:E132"/>
    <mergeCell ref="F132:G132"/>
    <mergeCell ref="J132:K132"/>
    <mergeCell ref="H132:I132"/>
    <mergeCell ref="E43:F43"/>
    <mergeCell ref="G49:J49"/>
    <mergeCell ref="G48:J48"/>
    <mergeCell ref="E45:F45"/>
    <mergeCell ref="I30:K30"/>
    <mergeCell ref="K49:M49"/>
    <mergeCell ref="E49:F49"/>
    <mergeCell ref="E48:F48"/>
    <mergeCell ref="K48:M48"/>
    <mergeCell ref="K47:M47"/>
    <mergeCell ref="B29:K29"/>
    <mergeCell ref="G47:J47"/>
    <mergeCell ref="G46:J46"/>
    <mergeCell ref="G45:J45"/>
    <mergeCell ref="G44:J44"/>
    <mergeCell ref="G43:J43"/>
    <mergeCell ref="K43:M43"/>
    <mergeCell ref="K46:M46"/>
    <mergeCell ref="K45:M45"/>
    <mergeCell ref="K44:M44"/>
    <mergeCell ref="M31:P31"/>
    <mergeCell ref="E47:F47"/>
    <mergeCell ref="E46:F46"/>
    <mergeCell ref="C30:E30"/>
    <mergeCell ref="F30:H30"/>
    <mergeCell ref="E44:F44"/>
  </mergeCells>
  <conditionalFormatting sqref="C159:C390">
    <cfRule type="cellIs" dxfId="0" priority="1" operator="equal">
      <formula>0</formula>
    </cfRule>
  </conditionalFormatting>
  <hyperlinks>
    <hyperlink ref="B26" r:id="rId1" xr:uid="{BA74E671-A8D2-459B-979D-5E195C2E2D86}"/>
    <hyperlink ref="F154" r:id="rId2" xr:uid="{A4C449BB-6235-42E1-A5F7-4D3F67A68671}"/>
    <hyperlink ref="F157" r:id="rId3" xr:uid="{66DF9090-C16E-4487-A461-9EABE7678BEB}"/>
  </hyperlinks>
  <pageMargins left="0.7" right="0.7" top="0.78740157499999996" bottom="0.78740157499999996" header="0.3" footer="0.3"/>
  <pageSetup paperSize="9" orientation="portrait"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Title</vt:lpstr>
      <vt:lpstr>Intro</vt:lpstr>
      <vt:lpstr>Notes</vt:lpstr>
      <vt:lpstr>Start</vt:lpstr>
      <vt:lpstr>Recycling</vt:lpstr>
      <vt:lpstr>Treatment &amp; Disposal</vt:lpstr>
      <vt:lpstr>Costs</vt:lpstr>
      <vt:lpstr>Calculation</vt:lpstr>
      <vt:lpstr>Factors</vt:lpstr>
      <vt:lpstr>LCA SQ</vt:lpstr>
      <vt:lpstr>LCA Sc1</vt:lpstr>
      <vt:lpstr>LCA Sc2</vt:lpstr>
      <vt:lpstr>LCA Sc3</vt:lpstr>
      <vt:lpstr>LCA results all</vt:lpstr>
      <vt:lpstr>Costs results all</vt:lpstr>
      <vt:lpstr>Bibliography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Regine</dc:creator>
  <cp:lastModifiedBy>Regine Vogt</cp:lastModifiedBy>
  <dcterms:created xsi:type="dcterms:W3CDTF">2008-12-02T19:57:14Z</dcterms:created>
  <dcterms:modified xsi:type="dcterms:W3CDTF">2022-12-08T11:39:28Z</dcterms:modified>
</cp:coreProperties>
</file>