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DieseArbeitsmappe" hidePivotFieldList="1"/>
  <mc:AlternateContent xmlns:mc="http://schemas.openxmlformats.org/markup-compatibility/2006">
    <mc:Choice Requires="x15">
      <x15ac:absPath xmlns:x15ac="http://schemas.microsoft.com/office/spreadsheetml/2010/11/ac" url="C:\Users\blume_ste\Documents\1 - SV Abfall (2016.2156.4)\B - Verträge\UoL WFD (81227427)\Deliverables\Final (after review)\final final (incl. licence agreement)\"/>
    </mc:Choice>
  </mc:AlternateContent>
  <xr:revisionPtr revIDLastSave="0" documentId="8_{1625B47F-201C-4C74-ACBF-6FC157C401C8}" xr6:coauthVersionLast="44" xr6:coauthVersionMax="44" xr10:uidLastSave="{00000000-0000-0000-0000-000000000000}"/>
  <bookViews>
    <workbookView xWindow="870" yWindow="-120" windowWidth="19740" windowHeight="11760" tabRatio="680" firstSheet="2" activeTab="6" xr2:uid="{00000000-000D-0000-FFFF-FFFF00000000}"/>
  </bookViews>
  <sheets>
    <sheet name="The Waste Flow Diagram Tool" sheetId="31" r:id="rId1"/>
    <sheet name="Case Study Details" sheetId="33" r:id="rId2"/>
    <sheet name="Baseline data entry" sheetId="24" r:id="rId3"/>
    <sheet name="Scenario data entry" sheetId="28" r:id="rId4"/>
    <sheet name="Flow diagrams" sheetId="25" r:id="rId5"/>
    <sheet name="Results summary" sheetId="19" r:id="rId6"/>
    <sheet name="Quick Reference Guide" sheetId="30" r:id="rId7"/>
    <sheet name="Calculations" sheetId="26" r:id="rId8"/>
    <sheet name="Settings" sheetId="27" r:id="rId9"/>
    <sheet name="Trouble Shooting" sheetId="32" r:id="rId10"/>
  </sheets>
  <definedNames>
    <definedName name="_xlnm._FilterDatabase" localSheetId="8" hidden="1">Settings!$V$2:$V$5</definedName>
    <definedName name="_ftnref1" localSheetId="0">'The Waste Flow Diagram Tool'!#REF!</definedName>
    <definedName name="_Ref32515964" localSheetId="6">'Quick Reference Guide'!$A$216</definedName>
    <definedName name="_Toc27141015" localSheetId="0">'The Waste Flow Diagram Tool'!$A$2</definedName>
    <definedName name="_Toc27141016" localSheetId="0">'The Waste Flow Diagram Tool'!$A$35</definedName>
    <definedName name="_Toc33526191" localSheetId="0">'The Waste Flow Diagram Tool'!$A$1</definedName>
    <definedName name="_Toc33526194" localSheetId="0">'The Waste Flow Diagram Tool'!#REF!</definedName>
    <definedName name="Material" localSheetId="3">Results_options_table[Material]</definedName>
    <definedName name="Material">Results_options_table[Material]</definedName>
    <definedName name="Scenario">Settings!$X$3:$X$6</definedName>
    <definedName name="Type1">Settings!$S$3:$S$7</definedName>
    <definedName name="Type2">Settings!$S$8:$S$10</definedName>
    <definedName name="Type3">Settings!$S$11:$S$14</definedName>
    <definedName name="Type4">Settings!$S$15:$S$19</definedName>
    <definedName name="Type5">Settings!$S$20:$S$23</definedName>
    <definedName name="Type6">Settings!$S$24:$S$28</definedName>
    <definedName name="Type7">Settings!$S$29:$S$32</definedName>
    <definedName name="Type8">Settings!$S$33:$S$34</definedName>
    <definedName name="Type9">Settings!$S$35:$S$40</definedName>
    <definedName name="Uncertainty_factors" localSheetId="3">Uncertainty_Factors_Table[Name]</definedName>
    <definedName name="Uncertainty_factors">Uncertainty_Factors_Table[Name]</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28" l="1"/>
  <c r="E49" i="24"/>
  <c r="E23" i="28" l="1"/>
  <c r="C119" i="26"/>
  <c r="E77" i="28"/>
  <c r="C103" i="26"/>
  <c r="F50" i="28"/>
  <c r="E56" i="24"/>
  <c r="G50" i="28" l="1"/>
  <c r="H50" i="28"/>
  <c r="F51" i="28"/>
  <c r="G51" i="28"/>
  <c r="H51" i="28"/>
  <c r="F52" i="28"/>
  <c r="G52" i="28"/>
  <c r="H52" i="28"/>
  <c r="F53" i="28"/>
  <c r="G53" i="28"/>
  <c r="H53" i="28"/>
  <c r="F54" i="28"/>
  <c r="G54" i="28"/>
  <c r="H54" i="28"/>
  <c r="F55" i="28"/>
  <c r="G55" i="28"/>
  <c r="H55" i="28"/>
  <c r="E47" i="28" l="1"/>
  <c r="E52" i="24"/>
  <c r="C135" i="26" l="1"/>
  <c r="C136" i="26"/>
  <c r="C123" i="26"/>
  <c r="R8" i="25" l="1"/>
  <c r="C218" i="26"/>
  <c r="G217" i="26" l="1"/>
  <c r="C27" i="25" s="1"/>
  <c r="E93" i="28" l="1"/>
  <c r="E94" i="28"/>
  <c r="E95" i="28"/>
  <c r="E96" i="28"/>
  <c r="E97" i="28"/>
  <c r="E98" i="28"/>
  <c r="E99" i="28"/>
  <c r="E100" i="28"/>
  <c r="E101" i="28"/>
  <c r="E102" i="28"/>
  <c r="E103" i="28"/>
  <c r="E104" i="28"/>
  <c r="E105" i="28"/>
  <c r="E106" i="28"/>
  <c r="E107" i="28"/>
  <c r="E108" i="28"/>
  <c r="E109" i="28"/>
  <c r="E92" i="28"/>
  <c r="O81" i="27" l="1"/>
  <c r="O82" i="27"/>
  <c r="O83" i="27"/>
  <c r="O84" i="27"/>
  <c r="O85" i="27"/>
  <c r="O86" i="27"/>
  <c r="O64" i="27"/>
  <c r="O65" i="27"/>
  <c r="O66" i="27"/>
  <c r="O67" i="27"/>
  <c r="O68" i="27"/>
  <c r="O69" i="27"/>
  <c r="O70" i="27"/>
  <c r="O71" i="27"/>
  <c r="O72" i="27"/>
  <c r="O73" i="27"/>
  <c r="O74" i="27"/>
  <c r="O75" i="27"/>
  <c r="O76" i="27"/>
  <c r="O77" i="27"/>
  <c r="O78" i="27"/>
  <c r="O79" i="27"/>
  <c r="O80" i="27"/>
  <c r="O57" i="27"/>
  <c r="O58" i="27"/>
  <c r="O59" i="27"/>
  <c r="O60" i="27"/>
  <c r="O61" i="27"/>
  <c r="O62" i="27"/>
  <c r="O51" i="27"/>
  <c r="O52" i="27"/>
  <c r="O53" i="27"/>
  <c r="O54" i="27"/>
  <c r="O55" i="27"/>
  <c r="O56" i="27"/>
  <c r="O46" i="27"/>
  <c r="O47" i="27"/>
  <c r="O48" i="27"/>
  <c r="O49" i="27"/>
  <c r="O50" i="27"/>
  <c r="O40" i="27"/>
  <c r="O41" i="27"/>
  <c r="O42" i="27"/>
  <c r="O43" i="27"/>
  <c r="O44" i="27"/>
  <c r="O39" i="27"/>
  <c r="O36" i="27"/>
  <c r="O37" i="27"/>
  <c r="O38" i="27"/>
  <c r="O34" i="27"/>
  <c r="O32" i="27"/>
  <c r="O27" i="27"/>
  <c r="O28" i="27"/>
  <c r="O26" i="27"/>
  <c r="O25" i="27"/>
  <c r="O24" i="27"/>
  <c r="O23" i="27"/>
  <c r="O22" i="27"/>
  <c r="O21" i="27"/>
  <c r="O16" i="27"/>
  <c r="O3" i="27"/>
  <c r="O4" i="27"/>
  <c r="O10" i="27"/>
  <c r="E48" i="28" l="1"/>
  <c r="G135" i="26" l="1"/>
  <c r="G127" i="26"/>
  <c r="G175" i="26"/>
  <c r="O33" i="25" s="1"/>
  <c r="G28" i="26"/>
  <c r="G43" i="19"/>
  <c r="G247" i="26"/>
  <c r="C54" i="26" l="1"/>
  <c r="C120" i="26" l="1"/>
  <c r="C128" i="26" s="1"/>
  <c r="C144" i="26" l="1"/>
  <c r="C152" i="26" l="1"/>
  <c r="E49" i="28" l="1"/>
  <c r="G61" i="26"/>
  <c r="E78" i="28"/>
  <c r="E76" i="28"/>
  <c r="E75" i="28"/>
  <c r="E69" i="28"/>
  <c r="E70" i="28"/>
  <c r="E71" i="28"/>
  <c r="E72" i="28"/>
  <c r="F57" i="27" l="1"/>
  <c r="F58" i="27"/>
  <c r="F59" i="27"/>
  <c r="F60" i="27"/>
  <c r="F44" i="27"/>
  <c r="F34" i="27"/>
  <c r="F33" i="27"/>
  <c r="F32" i="27"/>
  <c r="F31" i="27"/>
  <c r="F30" i="27"/>
  <c r="F29" i="27"/>
  <c r="O20" i="27" l="1"/>
  <c r="O14" i="27"/>
  <c r="O8" i="27"/>
  <c r="F7" i="27" l="1"/>
  <c r="E45" i="28" l="1"/>
  <c r="E43" i="28"/>
  <c r="E44" i="28"/>
  <c r="E46" i="28"/>
  <c r="E42" i="28"/>
  <c r="E38" i="28"/>
  <c r="E39" i="28"/>
  <c r="E40" i="28"/>
  <c r="E41" i="28"/>
  <c r="E37" i="28"/>
  <c r="E36" i="28"/>
  <c r="E50" i="28" s="1"/>
  <c r="E31" i="28"/>
  <c r="E32" i="28"/>
  <c r="E33" i="28"/>
  <c r="E34" i="28"/>
  <c r="E35" i="28"/>
  <c r="E55" i="28" l="1"/>
  <c r="E54" i="28"/>
  <c r="E53" i="28"/>
  <c r="E52" i="28"/>
  <c r="E51" i="28"/>
  <c r="F222" i="26" l="1"/>
  <c r="E222" i="26"/>
  <c r="D222" i="26"/>
  <c r="F221" i="26"/>
  <c r="E221" i="26"/>
  <c r="D221" i="26"/>
  <c r="F220" i="26"/>
  <c r="E220" i="26"/>
  <c r="D220" i="26"/>
  <c r="F219" i="26"/>
  <c r="E219" i="26"/>
  <c r="D219" i="26"/>
  <c r="F218" i="26"/>
  <c r="E218" i="26"/>
  <c r="D218" i="26"/>
  <c r="F217" i="26"/>
  <c r="E217" i="26"/>
  <c r="D217" i="26"/>
  <c r="D192" i="26" s="1"/>
  <c r="D184" i="26" s="1"/>
  <c r="E88" i="28"/>
  <c r="E89" i="28"/>
  <c r="E73" i="28"/>
  <c r="E74" i="28"/>
  <c r="E79" i="28"/>
  <c r="E80" i="28"/>
  <c r="E81" i="28"/>
  <c r="E82" i="28"/>
  <c r="E83" i="28"/>
  <c r="E84" i="28"/>
  <c r="E85" i="28"/>
  <c r="E86" i="28"/>
  <c r="E87" i="28"/>
  <c r="E65" i="28"/>
  <c r="E66" i="28"/>
  <c r="E64" i="28"/>
  <c r="E55" i="24"/>
  <c r="E15" i="28"/>
  <c r="E16" i="28"/>
  <c r="E17" i="28"/>
  <c r="E18" i="28"/>
  <c r="E19" i="28"/>
  <c r="E14" i="28"/>
  <c r="E13" i="28"/>
  <c r="E12" i="28"/>
  <c r="H20" i="28"/>
  <c r="E54" i="24"/>
  <c r="E53" i="24"/>
  <c r="E51" i="24"/>
  <c r="E50" i="24"/>
  <c r="G20" i="28"/>
  <c r="F20" i="28"/>
  <c r="D103" i="26" l="1"/>
  <c r="D111" i="26" s="1"/>
  <c r="F56" i="28"/>
  <c r="E5" i="19"/>
  <c r="E6" i="19" s="1"/>
  <c r="F5" i="19"/>
  <c r="F6" i="19" s="1"/>
  <c r="D5" i="19"/>
  <c r="D6" i="19" s="1"/>
  <c r="D193" i="26"/>
  <c r="F194" i="26"/>
  <c r="D195" i="26"/>
  <c r="F195" i="26"/>
  <c r="D196" i="26"/>
  <c r="E192" i="26"/>
  <c r="E196" i="26"/>
  <c r="F192" i="26"/>
  <c r="F196" i="26"/>
  <c r="D197" i="26"/>
  <c r="E197" i="26"/>
  <c r="F193" i="26"/>
  <c r="F197" i="26"/>
  <c r="E195" i="26"/>
  <c r="E193" i="26"/>
  <c r="D194" i="26"/>
  <c r="D186" i="26" s="1"/>
  <c r="E194" i="26"/>
  <c r="E20" i="28"/>
  <c r="F223" i="26"/>
  <c r="K5" i="19" s="1"/>
  <c r="K6" i="19" s="1"/>
  <c r="G266" i="26"/>
  <c r="G259" i="26"/>
  <c r="G253" i="26"/>
  <c r="G235" i="26"/>
  <c r="G159" i="26"/>
  <c r="S33" i="25" s="1"/>
  <c r="G208" i="26"/>
  <c r="G36" i="26"/>
  <c r="G44" i="26"/>
  <c r="O63" i="27"/>
  <c r="G20" i="26"/>
  <c r="D189" i="26" l="1"/>
  <c r="D108" i="26" s="1"/>
  <c r="F188" i="26"/>
  <c r="F107" i="26" s="1"/>
  <c r="F210" i="26"/>
  <c r="F153" i="26" s="1"/>
  <c r="F186" i="26"/>
  <c r="F105" i="26" s="1"/>
  <c r="F187" i="26"/>
  <c r="F106" i="26" s="1"/>
  <c r="F189" i="26"/>
  <c r="F108" i="26" s="1"/>
  <c r="F184" i="26"/>
  <c r="F103" i="26" s="1"/>
  <c r="F185" i="26"/>
  <c r="F104" i="26" s="1"/>
  <c r="E188" i="26"/>
  <c r="E107" i="26" s="1"/>
  <c r="E185" i="26"/>
  <c r="E104" i="26" s="1"/>
  <c r="E187" i="26"/>
  <c r="E106" i="26" s="1"/>
  <c r="E186" i="26"/>
  <c r="E105" i="26" s="1"/>
  <c r="E189" i="26"/>
  <c r="E108" i="26" s="1"/>
  <c r="E184" i="26"/>
  <c r="E103" i="26" s="1"/>
  <c r="D188" i="26"/>
  <c r="D107" i="26" s="1"/>
  <c r="D211" i="26"/>
  <c r="D187" i="26"/>
  <c r="D106" i="26" s="1"/>
  <c r="D105" i="26"/>
  <c r="D185" i="26"/>
  <c r="D104" i="26" s="1"/>
  <c r="H58" i="28"/>
  <c r="F59" i="28"/>
  <c r="D226" i="26"/>
  <c r="D200" i="26"/>
  <c r="D167" i="26" s="1"/>
  <c r="D86" i="26" s="1"/>
  <c r="F213" i="26"/>
  <c r="F156" i="26" s="1"/>
  <c r="F212" i="26"/>
  <c r="F155" i="26" s="1"/>
  <c r="F208" i="26"/>
  <c r="F151" i="26" s="1"/>
  <c r="G111" i="26"/>
  <c r="G143" i="26"/>
  <c r="R9" i="25"/>
  <c r="G77" i="26"/>
  <c r="G53" i="26"/>
  <c r="C223" i="26"/>
  <c r="C53" i="26"/>
  <c r="C217" i="26"/>
  <c r="AD14" i="25"/>
  <c r="G241" i="26"/>
  <c r="G200" i="26"/>
  <c r="J33" i="25" s="1"/>
  <c r="M33" i="25"/>
  <c r="Y33" i="25"/>
  <c r="G94" i="26"/>
  <c r="V33" i="25" s="1"/>
  <c r="G12" i="26"/>
  <c r="G4" i="26"/>
  <c r="G103" i="26"/>
  <c r="Y9" i="25" s="1"/>
  <c r="F203" i="26" l="1"/>
  <c r="F170" i="26" s="1"/>
  <c r="F61" i="28"/>
  <c r="F204" i="26"/>
  <c r="F171" i="26" s="1"/>
  <c r="F231" i="26"/>
  <c r="M27" i="26" s="1"/>
  <c r="E8" i="19"/>
  <c r="E9" i="19" s="1"/>
  <c r="F205" i="26"/>
  <c r="F172" i="26" s="1"/>
  <c r="F132" i="26" s="1"/>
  <c r="F226" i="26"/>
  <c r="M22" i="26" s="1"/>
  <c r="H61" i="28"/>
  <c r="H57" i="28"/>
  <c r="H56" i="28"/>
  <c r="H59" i="28"/>
  <c r="F8" i="19"/>
  <c r="F9" i="19" s="1"/>
  <c r="F230" i="26"/>
  <c r="M26" i="26" s="1"/>
  <c r="H60" i="28"/>
  <c r="G61" i="28"/>
  <c r="G58" i="28"/>
  <c r="G59" i="28"/>
  <c r="G57" i="28"/>
  <c r="G60" i="28"/>
  <c r="G56" i="28"/>
  <c r="D8" i="19"/>
  <c r="D227" i="26"/>
  <c r="D127" i="26"/>
  <c r="D135" i="26" s="1"/>
  <c r="F60" i="28"/>
  <c r="F58" i="28"/>
  <c r="F57" i="28"/>
  <c r="C127" i="26"/>
  <c r="C143" i="26"/>
  <c r="C175" i="26" s="1"/>
  <c r="C86" i="26"/>
  <c r="F130" i="26"/>
  <c r="H5" i="19"/>
  <c r="H6" i="19" s="1"/>
  <c r="C78" i="26"/>
  <c r="C23" i="19"/>
  <c r="F89" i="26"/>
  <c r="F91" i="26"/>
  <c r="M36" i="26" s="1"/>
  <c r="F198" i="26"/>
  <c r="F229" i="26"/>
  <c r="M25" i="26" s="1"/>
  <c r="F211" i="26"/>
  <c r="F154" i="26" s="1"/>
  <c r="F200" i="26"/>
  <c r="F190" i="26"/>
  <c r="F202" i="26"/>
  <c r="F228" i="26"/>
  <c r="M24" i="26" s="1"/>
  <c r="F227" i="26"/>
  <c r="C61" i="26"/>
  <c r="C77" i="26"/>
  <c r="X27" i="25"/>
  <c r="F73" i="27"/>
  <c r="O45" i="27"/>
  <c r="O35" i="27"/>
  <c r="O33" i="27"/>
  <c r="O31" i="27"/>
  <c r="O30" i="27"/>
  <c r="O29" i="27"/>
  <c r="O5" i="27"/>
  <c r="O6" i="27"/>
  <c r="O7" i="27"/>
  <c r="O9" i="27"/>
  <c r="O11" i="27"/>
  <c r="O12" i="27"/>
  <c r="O13" i="27"/>
  <c r="O15" i="27"/>
  <c r="O17" i="27"/>
  <c r="O18" i="27"/>
  <c r="O19" i="27"/>
  <c r="F3" i="27"/>
  <c r="C219" i="26"/>
  <c r="C220" i="26"/>
  <c r="C221" i="26"/>
  <c r="C222" i="26"/>
  <c r="F45" i="27"/>
  <c r="F46" i="27"/>
  <c r="F47" i="27"/>
  <c r="F48" i="27"/>
  <c r="F49" i="27"/>
  <c r="F50" i="27"/>
  <c r="F51" i="27"/>
  <c r="F52" i="27"/>
  <c r="F53" i="27"/>
  <c r="F54" i="27"/>
  <c r="F55" i="27"/>
  <c r="F56" i="27"/>
  <c r="F61" i="27"/>
  <c r="F62" i="27"/>
  <c r="F63" i="27"/>
  <c r="F64" i="27"/>
  <c r="F65" i="27"/>
  <c r="F66" i="27"/>
  <c r="F67" i="27"/>
  <c r="F68" i="27"/>
  <c r="C151" i="26" l="1"/>
  <c r="C192" i="26" s="1"/>
  <c r="E24" i="28" s="1"/>
  <c r="F138" i="26"/>
  <c r="F122" i="26"/>
  <c r="F124" i="26"/>
  <c r="F140" i="26"/>
  <c r="D237" i="26"/>
  <c r="F104" i="24"/>
  <c r="D236" i="26"/>
  <c r="F238" i="26"/>
  <c r="F237" i="26"/>
  <c r="F236" i="26"/>
  <c r="F235" i="26"/>
  <c r="F93" i="24"/>
  <c r="F99" i="24"/>
  <c r="F97" i="24"/>
  <c r="F95" i="24"/>
  <c r="F94" i="24"/>
  <c r="F92" i="24"/>
  <c r="F88" i="24"/>
  <c r="F103" i="24"/>
  <c r="F98" i="24"/>
  <c r="F100" i="24"/>
  <c r="F87" i="24"/>
  <c r="F102" i="24"/>
  <c r="F96" i="24"/>
  <c r="F101" i="24"/>
  <c r="F91" i="24"/>
  <c r="D238" i="26"/>
  <c r="D235" i="26"/>
  <c r="F90" i="24"/>
  <c r="F89" i="24"/>
  <c r="F131" i="26"/>
  <c r="F90" i="26"/>
  <c r="M35" i="26" s="1"/>
  <c r="K8" i="19"/>
  <c r="K9" i="19" s="1"/>
  <c r="F99" i="26"/>
  <c r="F58" i="26" s="1"/>
  <c r="M54" i="26" s="1"/>
  <c r="F11" i="19"/>
  <c r="F12" i="19" s="1"/>
  <c r="C5" i="19"/>
  <c r="C6" i="19" s="1"/>
  <c r="F114" i="26"/>
  <c r="F169" i="26"/>
  <c r="F167" i="26"/>
  <c r="M34" i="26"/>
  <c r="M23" i="26"/>
  <c r="F97" i="26"/>
  <c r="F56" i="26" s="1"/>
  <c r="M52" i="26" s="1"/>
  <c r="F232" i="26"/>
  <c r="K11" i="19" s="1"/>
  <c r="K12" i="19" s="1"/>
  <c r="C69" i="26"/>
  <c r="J58" i="26" s="1"/>
  <c r="C94" i="26"/>
  <c r="J49" i="26" s="1"/>
  <c r="D223" i="26"/>
  <c r="E223" i="26"/>
  <c r="J5" i="19" s="1"/>
  <c r="J6" i="19" s="1"/>
  <c r="F74" i="27"/>
  <c r="F75" i="27"/>
  <c r="F76" i="27"/>
  <c r="F77" i="27"/>
  <c r="F78" i="27"/>
  <c r="F72" i="27"/>
  <c r="F71" i="27"/>
  <c r="F70" i="27"/>
  <c r="F69" i="27"/>
  <c r="F28" i="27"/>
  <c r="F20" i="27"/>
  <c r="F21" i="27"/>
  <c r="F22" i="27"/>
  <c r="F23" i="27"/>
  <c r="F24" i="27"/>
  <c r="F25" i="27"/>
  <c r="F26" i="27"/>
  <c r="F27" i="27"/>
  <c r="C137" i="26"/>
  <c r="C138" i="26"/>
  <c r="C139" i="26"/>
  <c r="C140" i="26"/>
  <c r="C121" i="26"/>
  <c r="C129" i="26" s="1"/>
  <c r="C122" i="26"/>
  <c r="C130" i="26" s="1"/>
  <c r="C131" i="26"/>
  <c r="C124" i="26"/>
  <c r="C132" i="26" s="1"/>
  <c r="C104" i="26"/>
  <c r="C105" i="26"/>
  <c r="C106" i="26"/>
  <c r="C107" i="26"/>
  <c r="C108" i="26"/>
  <c r="C167" i="26"/>
  <c r="C55" i="26"/>
  <c r="C56" i="26"/>
  <c r="C57" i="26"/>
  <c r="C58" i="26"/>
  <c r="F43" i="27"/>
  <c r="F42" i="27"/>
  <c r="F41" i="27"/>
  <c r="F40" i="27"/>
  <c r="F39" i="27"/>
  <c r="F38" i="27"/>
  <c r="F4" i="27"/>
  <c r="F5" i="27"/>
  <c r="F6" i="27"/>
  <c r="F8" i="27"/>
  <c r="F9" i="27"/>
  <c r="F10" i="27"/>
  <c r="F11" i="27"/>
  <c r="F12" i="27"/>
  <c r="F13" i="27"/>
  <c r="F14" i="27"/>
  <c r="F15" i="27"/>
  <c r="F16" i="27"/>
  <c r="F17" i="27"/>
  <c r="F18" i="27"/>
  <c r="F19" i="27"/>
  <c r="F35" i="27"/>
  <c r="F36" i="27"/>
  <c r="F37" i="27"/>
  <c r="M45" i="26" l="1"/>
  <c r="C208" i="26"/>
  <c r="C159" i="26"/>
  <c r="J40" i="26" s="1"/>
  <c r="C184" i="26"/>
  <c r="E56" i="28" s="1"/>
  <c r="F123" i="26"/>
  <c r="F139" i="26"/>
  <c r="M43" i="26"/>
  <c r="C116" i="26"/>
  <c r="C172" i="26"/>
  <c r="C115" i="26"/>
  <c r="C171" i="26"/>
  <c r="C114" i="26"/>
  <c r="C170" i="26"/>
  <c r="C113" i="26"/>
  <c r="C169" i="26"/>
  <c r="F266" i="26"/>
  <c r="F267" i="26" s="1"/>
  <c r="E266" i="26"/>
  <c r="E267" i="26" s="1"/>
  <c r="D266" i="26"/>
  <c r="D267" i="26" s="1"/>
  <c r="C266" i="26"/>
  <c r="C267" i="26" s="1"/>
  <c r="C5" i="26"/>
  <c r="C62" i="26" s="1"/>
  <c r="F98" i="26"/>
  <c r="F57" i="26" s="1"/>
  <c r="M53" i="26" s="1"/>
  <c r="I5" i="19"/>
  <c r="I6" i="19" s="1"/>
  <c r="C26" i="25"/>
  <c r="E13" i="26"/>
  <c r="E29" i="26"/>
  <c r="E34" i="26" s="1"/>
  <c r="F37" i="26"/>
  <c r="E21" i="26"/>
  <c r="E26" i="26" s="1"/>
  <c r="D45" i="26"/>
  <c r="D201" i="26" s="1"/>
  <c r="F29" i="26"/>
  <c r="F34" i="26" s="1"/>
  <c r="F13" i="26"/>
  <c r="F18" i="26" s="1"/>
  <c r="F21" i="26"/>
  <c r="F26" i="26" s="1"/>
  <c r="C45" i="26"/>
  <c r="C50" i="26" s="1"/>
  <c r="F5" i="26"/>
  <c r="F10" i="26" s="1"/>
  <c r="D21" i="26"/>
  <c r="D26" i="26" s="1"/>
  <c r="C29" i="26"/>
  <c r="C176" i="26" s="1"/>
  <c r="O32" i="25" s="1"/>
  <c r="C13" i="26"/>
  <c r="C87" i="26" s="1"/>
  <c r="C37" i="26"/>
  <c r="C193" i="26" s="1"/>
  <c r="C154" i="26"/>
  <c r="C162" i="26" s="1"/>
  <c r="D29" i="26"/>
  <c r="D34" i="26" s="1"/>
  <c r="E37" i="26"/>
  <c r="E42" i="26" s="1"/>
  <c r="E5" i="26"/>
  <c r="F127" i="26"/>
  <c r="D13" i="26"/>
  <c r="D18" i="26" s="1"/>
  <c r="F45" i="26"/>
  <c r="C21" i="26"/>
  <c r="C160" i="26" s="1"/>
  <c r="S32" i="25" s="1"/>
  <c r="D5" i="26"/>
  <c r="F129" i="26"/>
  <c r="E45" i="26"/>
  <c r="E201" i="26" s="1"/>
  <c r="C156" i="26"/>
  <c r="C164" i="26" s="1"/>
  <c r="D37" i="26"/>
  <c r="D209" i="26" s="1"/>
  <c r="D152" i="26" s="1"/>
  <c r="F115" i="26"/>
  <c r="C112" i="26"/>
  <c r="F86" i="26"/>
  <c r="M31" i="26" s="1"/>
  <c r="F82" i="26"/>
  <c r="F66" i="26"/>
  <c r="F74" i="26" s="1"/>
  <c r="M63" i="26" s="1"/>
  <c r="C14" i="19"/>
  <c r="C15" i="19" s="1"/>
  <c r="C20" i="19"/>
  <c r="C21" i="19"/>
  <c r="C17" i="19"/>
  <c r="C24" i="19"/>
  <c r="C18" i="19"/>
  <c r="F88" i="26"/>
  <c r="M33" i="26" s="1"/>
  <c r="M28" i="26"/>
  <c r="F64" i="26"/>
  <c r="F72" i="26" s="1"/>
  <c r="M61" i="26" s="1"/>
  <c r="F80" i="26"/>
  <c r="C111" i="26"/>
  <c r="C79" i="26"/>
  <c r="C81" i="26"/>
  <c r="C80" i="26"/>
  <c r="C82" i="26"/>
  <c r="C145" i="26"/>
  <c r="C177" i="26" s="1"/>
  <c r="C148" i="26"/>
  <c r="C180" i="26" s="1"/>
  <c r="E210" i="26"/>
  <c r="E153" i="26" s="1"/>
  <c r="C146" i="26"/>
  <c r="C178" i="26" s="1"/>
  <c r="C147" i="26"/>
  <c r="C179" i="26" s="1"/>
  <c r="C59" i="26"/>
  <c r="C109" i="26"/>
  <c r="C125" i="26"/>
  <c r="C141" i="26"/>
  <c r="C91" i="26"/>
  <c r="C64" i="26"/>
  <c r="C72" i="26" s="1"/>
  <c r="J61" i="26" s="1"/>
  <c r="C89" i="26"/>
  <c r="C65" i="26"/>
  <c r="C73" i="26" s="1"/>
  <c r="J62" i="26" s="1"/>
  <c r="C90" i="26"/>
  <c r="C63" i="26"/>
  <c r="C71" i="26" s="1"/>
  <c r="J60" i="26" s="1"/>
  <c r="C88" i="26"/>
  <c r="C66" i="26"/>
  <c r="C74" i="26" s="1"/>
  <c r="J63" i="26" s="1"/>
  <c r="M44" i="26" l="1"/>
  <c r="C209" i="26"/>
  <c r="E25" i="28"/>
  <c r="F135" i="26"/>
  <c r="F119" i="26"/>
  <c r="F137" i="26"/>
  <c r="F121" i="26"/>
  <c r="D168" i="26"/>
  <c r="C95" i="26"/>
  <c r="C168" i="26"/>
  <c r="J41" i="26" s="1"/>
  <c r="J45" i="26"/>
  <c r="J43" i="26"/>
  <c r="AH74" i="25"/>
  <c r="AH62" i="25"/>
  <c r="C260" i="26"/>
  <c r="C262" i="26"/>
  <c r="C261" i="26"/>
  <c r="F65" i="26"/>
  <c r="F73" i="26" s="1"/>
  <c r="M62" i="26" s="1"/>
  <c r="F81" i="26"/>
  <c r="C42" i="26"/>
  <c r="C70" i="26"/>
  <c r="H23" i="19"/>
  <c r="H24" i="19" s="1"/>
  <c r="M9" i="26"/>
  <c r="C155" i="26"/>
  <c r="C163" i="26" s="1"/>
  <c r="C133" i="26"/>
  <c r="G119" i="26" s="1"/>
  <c r="C34" i="26"/>
  <c r="C153" i="26"/>
  <c r="C26" i="26"/>
  <c r="C186" i="26"/>
  <c r="F94" i="26"/>
  <c r="F53" i="26" s="1"/>
  <c r="M49" i="26" s="1"/>
  <c r="E168" i="26"/>
  <c r="F96" i="26"/>
  <c r="F55" i="26" s="1"/>
  <c r="M51" i="26" s="1"/>
  <c r="C117" i="26"/>
  <c r="C26" i="19"/>
  <c r="C27" i="19" s="1"/>
  <c r="H14" i="19"/>
  <c r="H15" i="19" s="1"/>
  <c r="H17" i="19"/>
  <c r="H20" i="19"/>
  <c r="H21" i="19"/>
  <c r="H18" i="19"/>
  <c r="D42" i="26"/>
  <c r="E50" i="26"/>
  <c r="D50" i="26"/>
  <c r="F50" i="26"/>
  <c r="F201" i="26"/>
  <c r="F42" i="26"/>
  <c r="F209" i="26"/>
  <c r="C83" i="26"/>
  <c r="D210" i="26"/>
  <c r="D154" i="26"/>
  <c r="C149" i="26"/>
  <c r="D212" i="26"/>
  <c r="D155" i="26" s="1"/>
  <c r="E208" i="26"/>
  <c r="E151" i="26" s="1"/>
  <c r="E212" i="26"/>
  <c r="E155" i="26" s="1"/>
  <c r="E213" i="26"/>
  <c r="E156" i="26" s="1"/>
  <c r="C195" i="26"/>
  <c r="C96" i="26"/>
  <c r="C98" i="26"/>
  <c r="J53" i="26" s="1"/>
  <c r="C97" i="26"/>
  <c r="J52" i="26" s="1"/>
  <c r="D203" i="26"/>
  <c r="C99" i="26"/>
  <c r="J54" i="26" s="1"/>
  <c r="C197" i="26"/>
  <c r="E202" i="26"/>
  <c r="E203" i="26"/>
  <c r="C188" i="26"/>
  <c r="C67" i="26"/>
  <c r="C18" i="26"/>
  <c r="C10" i="26"/>
  <c r="E18" i="26"/>
  <c r="D10" i="26"/>
  <c r="E10" i="26"/>
  <c r="E211" i="26"/>
  <c r="E154" i="26" s="1"/>
  <c r="D213" i="26"/>
  <c r="D156" i="26" s="1"/>
  <c r="D208" i="26"/>
  <c r="E20" i="24"/>
  <c r="C213" i="26" l="1"/>
  <c r="E29" i="28"/>
  <c r="C211" i="26"/>
  <c r="E27" i="28"/>
  <c r="M42" i="26"/>
  <c r="M40" i="26"/>
  <c r="D151" i="26"/>
  <c r="D87" i="26"/>
  <c r="D128" i="26"/>
  <c r="C185" i="26"/>
  <c r="J44" i="26"/>
  <c r="C194" i="26"/>
  <c r="C161" i="26"/>
  <c r="J42" i="26" s="1"/>
  <c r="AI74" i="25"/>
  <c r="G69" i="26"/>
  <c r="C226" i="26"/>
  <c r="F61" i="26"/>
  <c r="F69" i="26" s="1"/>
  <c r="C254" i="26"/>
  <c r="C255" i="26"/>
  <c r="C253" i="26"/>
  <c r="C256" i="26"/>
  <c r="C250" i="26"/>
  <c r="C249" i="26"/>
  <c r="C248" i="26"/>
  <c r="C247" i="26"/>
  <c r="M8" i="26"/>
  <c r="M7" i="26"/>
  <c r="C181" i="26"/>
  <c r="G167" i="26" s="1"/>
  <c r="C189" i="26"/>
  <c r="C196" i="26"/>
  <c r="C187" i="26"/>
  <c r="V9" i="25"/>
  <c r="E128" i="26"/>
  <c r="D95" i="26"/>
  <c r="F77" i="26"/>
  <c r="E87" i="26"/>
  <c r="E95" i="26" s="1"/>
  <c r="C157" i="26"/>
  <c r="H26" i="19"/>
  <c r="H27" i="19" s="1"/>
  <c r="F63" i="26"/>
  <c r="F71" i="26" s="1"/>
  <c r="M60" i="26" s="1"/>
  <c r="F168" i="26"/>
  <c r="F79" i="26"/>
  <c r="E169" i="26"/>
  <c r="E170" i="26"/>
  <c r="D170" i="26"/>
  <c r="D153" i="26"/>
  <c r="F152" i="26"/>
  <c r="F214" i="26"/>
  <c r="F206" i="26"/>
  <c r="C200" i="26"/>
  <c r="J31" i="26" s="1"/>
  <c r="J50" i="26"/>
  <c r="C204" i="26"/>
  <c r="E226" i="26"/>
  <c r="E230" i="26"/>
  <c r="E231" i="26"/>
  <c r="E204" i="26"/>
  <c r="C100" i="26"/>
  <c r="G86" i="26" s="1"/>
  <c r="J59" i="26"/>
  <c r="J51" i="26"/>
  <c r="D204" i="26"/>
  <c r="D205" i="26"/>
  <c r="E205" i="26"/>
  <c r="E228" i="26"/>
  <c r="K22" i="26"/>
  <c r="C75" i="26"/>
  <c r="C173" i="26"/>
  <c r="D231" i="26"/>
  <c r="E200" i="26"/>
  <c r="C92" i="26"/>
  <c r="D229" i="26"/>
  <c r="C202" i="26"/>
  <c r="D202" i="26"/>
  <c r="D169" i="26" s="1"/>
  <c r="D228" i="26"/>
  <c r="D230" i="26"/>
  <c r="E229" i="26"/>
  <c r="C210" i="26" l="1"/>
  <c r="J33" i="26" s="1"/>
  <c r="E26" i="28"/>
  <c r="C212" i="26"/>
  <c r="J35" i="26" s="1"/>
  <c r="E28" i="28"/>
  <c r="D119" i="26"/>
  <c r="D143" i="26" s="1"/>
  <c r="E176" i="26"/>
  <c r="E249" i="26" s="1"/>
  <c r="D130" i="26"/>
  <c r="D138" i="26" s="1"/>
  <c r="D129" i="26"/>
  <c r="D137" i="26" s="1"/>
  <c r="C228" i="26"/>
  <c r="J6" i="26" s="1"/>
  <c r="E58" i="28"/>
  <c r="J13" i="26"/>
  <c r="J4" i="26"/>
  <c r="C227" i="26"/>
  <c r="E57" i="28"/>
  <c r="C205" i="26"/>
  <c r="J36" i="26" s="1"/>
  <c r="E61" i="28"/>
  <c r="C203" i="26"/>
  <c r="J34" i="26" s="1"/>
  <c r="E59" i="28"/>
  <c r="E60" i="28"/>
  <c r="D242" i="26"/>
  <c r="D243" i="26"/>
  <c r="D244" i="26"/>
  <c r="E160" i="26"/>
  <c r="J22" i="26"/>
  <c r="C8" i="19"/>
  <c r="C9" i="19" s="1"/>
  <c r="O16" i="25"/>
  <c r="M4" i="26"/>
  <c r="C229" i="26"/>
  <c r="C231" i="26"/>
  <c r="C230" i="26"/>
  <c r="E130" i="26"/>
  <c r="E129" i="26"/>
  <c r="C201" i="26"/>
  <c r="C251" i="26"/>
  <c r="F128" i="26"/>
  <c r="E20" i="19"/>
  <c r="E54" i="26"/>
  <c r="E167" i="26"/>
  <c r="D171" i="26"/>
  <c r="D89" i="26"/>
  <c r="K34" i="26" s="1"/>
  <c r="E89" i="26"/>
  <c r="E97" i="26" s="1"/>
  <c r="J64" i="26"/>
  <c r="E172" i="26"/>
  <c r="E88" i="26"/>
  <c r="E96" i="26" s="1"/>
  <c r="E171" i="26"/>
  <c r="D172" i="26"/>
  <c r="D94" i="26"/>
  <c r="D53" i="26" s="1"/>
  <c r="D157" i="26"/>
  <c r="C263" i="26"/>
  <c r="F87" i="26"/>
  <c r="M32" i="26" s="1"/>
  <c r="F173" i="26"/>
  <c r="F157" i="26"/>
  <c r="M58" i="26"/>
  <c r="L22" i="26"/>
  <c r="C165" i="26"/>
  <c r="G151" i="26" s="1"/>
  <c r="L26" i="26"/>
  <c r="L27" i="26"/>
  <c r="L24" i="26"/>
  <c r="D9" i="19"/>
  <c r="L25" i="26"/>
  <c r="K25" i="26"/>
  <c r="K27" i="26"/>
  <c r="K26" i="26"/>
  <c r="K24" i="26"/>
  <c r="J55" i="26"/>
  <c r="E190" i="26"/>
  <c r="E227" i="26"/>
  <c r="C190" i="26"/>
  <c r="D190" i="26"/>
  <c r="E198" i="26"/>
  <c r="E209" i="26"/>
  <c r="E243" i="26" s="1"/>
  <c r="D198" i="26"/>
  <c r="C198" i="26"/>
  <c r="I24" i="25" s="1"/>
  <c r="AH76" i="25" s="1"/>
  <c r="AI76" i="25" s="1"/>
  <c r="E136" i="26" l="1"/>
  <c r="E17" i="19" s="1"/>
  <c r="K40" i="26"/>
  <c r="E248" i="26"/>
  <c r="E250" i="26"/>
  <c r="E247" i="26"/>
  <c r="D132" i="26"/>
  <c r="D140" i="26" s="1"/>
  <c r="E122" i="26"/>
  <c r="E138" i="26"/>
  <c r="L43" i="26" s="1"/>
  <c r="F176" i="26"/>
  <c r="F250" i="26" s="1"/>
  <c r="E137" i="26"/>
  <c r="E121" i="26"/>
  <c r="D122" i="26"/>
  <c r="K43" i="26" s="1"/>
  <c r="D131" i="26"/>
  <c r="D139" i="26" s="1"/>
  <c r="D121" i="26"/>
  <c r="K42" i="26" s="1"/>
  <c r="D77" i="26"/>
  <c r="D176" i="26"/>
  <c r="J24" i="26"/>
  <c r="J15" i="26"/>
  <c r="J46" i="26"/>
  <c r="J14" i="26"/>
  <c r="J18" i="26"/>
  <c r="J8" i="26"/>
  <c r="J17" i="26"/>
  <c r="J7" i="26"/>
  <c r="J16" i="26"/>
  <c r="C43" i="19"/>
  <c r="E244" i="26"/>
  <c r="E242" i="26"/>
  <c r="E235" i="26"/>
  <c r="E238" i="26"/>
  <c r="E237" i="26"/>
  <c r="E236" i="26"/>
  <c r="E255" i="26"/>
  <c r="E253" i="26"/>
  <c r="E256" i="26"/>
  <c r="E254" i="26"/>
  <c r="C243" i="26"/>
  <c r="C242" i="26"/>
  <c r="C244" i="26"/>
  <c r="C237" i="26"/>
  <c r="C236" i="26"/>
  <c r="C235" i="26"/>
  <c r="C276" i="26" s="1"/>
  <c r="C238" i="26"/>
  <c r="E23" i="19"/>
  <c r="E24" i="19" s="1"/>
  <c r="D160" i="26"/>
  <c r="D120" i="26" s="1"/>
  <c r="J9" i="26"/>
  <c r="J26" i="26"/>
  <c r="M6" i="26"/>
  <c r="J27" i="26"/>
  <c r="J25" i="26"/>
  <c r="E132" i="26"/>
  <c r="E131" i="26"/>
  <c r="J32" i="26"/>
  <c r="E127" i="26"/>
  <c r="D91" i="26"/>
  <c r="D54" i="26"/>
  <c r="E78" i="26"/>
  <c r="E21" i="19"/>
  <c r="L50" i="26"/>
  <c r="E62" i="26"/>
  <c r="E262" i="26" s="1"/>
  <c r="D112" i="26"/>
  <c r="L34" i="26"/>
  <c r="J8" i="19"/>
  <c r="J9" i="19" s="1"/>
  <c r="E11" i="19"/>
  <c r="E12" i="19" s="1"/>
  <c r="H8" i="19"/>
  <c r="H9" i="19" s="1"/>
  <c r="C214" i="26"/>
  <c r="C11" i="19"/>
  <c r="C12" i="19" s="1"/>
  <c r="D232" i="26"/>
  <c r="I11" i="19" s="1"/>
  <c r="I12" i="19" s="1"/>
  <c r="D11" i="19"/>
  <c r="D12" i="19" s="1"/>
  <c r="I8" i="19"/>
  <c r="I9" i="19" s="1"/>
  <c r="D97" i="26"/>
  <c r="D56" i="26" s="1"/>
  <c r="E114" i="26"/>
  <c r="E90" i="26"/>
  <c r="L35" i="26" s="1"/>
  <c r="L33" i="26"/>
  <c r="E91" i="26"/>
  <c r="D90" i="26"/>
  <c r="I17" i="25"/>
  <c r="E86" i="26"/>
  <c r="L31" i="26" s="1"/>
  <c r="D61" i="26"/>
  <c r="D88" i="26"/>
  <c r="F95" i="26"/>
  <c r="F92" i="26"/>
  <c r="F145" i="26"/>
  <c r="F113" i="26"/>
  <c r="F146" i="26"/>
  <c r="M16" i="26" s="1"/>
  <c r="D114" i="26"/>
  <c r="E56" i="26"/>
  <c r="E64" i="26" s="1"/>
  <c r="E72" i="26" s="1"/>
  <c r="L61" i="26" s="1"/>
  <c r="E55" i="26"/>
  <c r="L51" i="26" s="1"/>
  <c r="E173" i="26"/>
  <c r="E214" i="26"/>
  <c r="E152" i="26"/>
  <c r="E120" i="26" s="1"/>
  <c r="D206" i="26"/>
  <c r="L23" i="26"/>
  <c r="D214" i="26"/>
  <c r="M32" i="25" s="1"/>
  <c r="J23" i="26"/>
  <c r="C206" i="26"/>
  <c r="G184" i="26" s="1"/>
  <c r="K23" i="26"/>
  <c r="C232" i="26"/>
  <c r="E206" i="26"/>
  <c r="E232" i="26"/>
  <c r="J11" i="19" s="1"/>
  <c r="J12" i="19" s="1"/>
  <c r="F249" i="26" l="1"/>
  <c r="F247" i="26"/>
  <c r="L41" i="26"/>
  <c r="E43" i="19"/>
  <c r="E50" i="19" s="1"/>
  <c r="E273" i="26"/>
  <c r="M15" i="26"/>
  <c r="E276" i="26"/>
  <c r="F136" i="26"/>
  <c r="F248" i="26"/>
  <c r="D124" i="26"/>
  <c r="K45" i="26" s="1"/>
  <c r="L42" i="26"/>
  <c r="E123" i="26"/>
  <c r="E139" i="26"/>
  <c r="E135" i="26"/>
  <c r="E119" i="26"/>
  <c r="E140" i="26"/>
  <c r="E124" i="26"/>
  <c r="D123" i="26"/>
  <c r="K44" i="26" s="1"/>
  <c r="D247" i="26"/>
  <c r="D136" i="26"/>
  <c r="K41" i="26" s="1"/>
  <c r="D80" i="26"/>
  <c r="D249" i="26"/>
  <c r="D248" i="26"/>
  <c r="D250" i="26"/>
  <c r="AH75" i="25"/>
  <c r="AI75" i="25" s="1"/>
  <c r="J19" i="26"/>
  <c r="C273" i="26"/>
  <c r="G273" i="26" s="1"/>
  <c r="I43" i="25"/>
  <c r="C279" i="26"/>
  <c r="C50" i="19"/>
  <c r="C49" i="19"/>
  <c r="C269" i="26"/>
  <c r="G269" i="26" s="1"/>
  <c r="E261" i="26"/>
  <c r="E269" i="26" s="1"/>
  <c r="E260" i="26"/>
  <c r="E279" i="26" s="1"/>
  <c r="D255" i="26"/>
  <c r="D253" i="26"/>
  <c r="D256" i="26"/>
  <c r="D254" i="26"/>
  <c r="F242" i="26"/>
  <c r="F243" i="26"/>
  <c r="F244" i="26"/>
  <c r="G192" i="26"/>
  <c r="I25" i="25" s="1"/>
  <c r="F160" i="26"/>
  <c r="F181" i="26"/>
  <c r="G276" i="26"/>
  <c r="AA41" i="25" s="1"/>
  <c r="J32" i="25"/>
  <c r="I18" i="25"/>
  <c r="C47" i="19"/>
  <c r="O18" i="25"/>
  <c r="C257" i="26"/>
  <c r="E70" i="26"/>
  <c r="L59" i="26" s="1"/>
  <c r="D20" i="19"/>
  <c r="D21" i="19"/>
  <c r="K52" i="26"/>
  <c r="F20" i="19"/>
  <c r="F21" i="19"/>
  <c r="C48" i="19"/>
  <c r="C46" i="19"/>
  <c r="C52" i="19"/>
  <c r="C44" i="19"/>
  <c r="C51" i="19"/>
  <c r="S39" i="25"/>
  <c r="H11" i="19"/>
  <c r="H12" i="19" s="1"/>
  <c r="D64" i="26"/>
  <c r="D72" i="26" s="1"/>
  <c r="K61" i="26" s="1"/>
  <c r="I37" i="25"/>
  <c r="E94" i="26"/>
  <c r="E53" i="26" s="1"/>
  <c r="F54" i="26"/>
  <c r="M37" i="26"/>
  <c r="F100" i="26"/>
  <c r="L32" i="26"/>
  <c r="E80" i="26"/>
  <c r="E92" i="26"/>
  <c r="L52" i="26"/>
  <c r="F111" i="26"/>
  <c r="E79" i="26"/>
  <c r="E63" i="26"/>
  <c r="E71" i="26" s="1"/>
  <c r="L60" i="26" s="1"/>
  <c r="E157" i="26"/>
  <c r="E98" i="26"/>
  <c r="E57" i="26" s="1"/>
  <c r="D98" i="26"/>
  <c r="D57" i="26" s="1"/>
  <c r="K35" i="26"/>
  <c r="D173" i="26"/>
  <c r="E113" i="26"/>
  <c r="K31" i="26"/>
  <c r="D99" i="26"/>
  <c r="D58" i="26" s="1"/>
  <c r="K36" i="26"/>
  <c r="E99" i="26"/>
  <c r="E58" i="26" s="1"/>
  <c r="L36" i="26"/>
  <c r="D96" i="26"/>
  <c r="K33" i="26"/>
  <c r="J37" i="26"/>
  <c r="J28" i="26"/>
  <c r="L28" i="26"/>
  <c r="K28" i="26"/>
  <c r="E245" i="26"/>
  <c r="C245" i="26"/>
  <c r="L44" i="26" l="1"/>
  <c r="E49" i="19"/>
  <c r="L67" i="26"/>
  <c r="L40" i="26"/>
  <c r="D276" i="26"/>
  <c r="F120" i="26"/>
  <c r="L45" i="26"/>
  <c r="K54" i="26"/>
  <c r="O15" i="25"/>
  <c r="J10" i="26"/>
  <c r="AH77" i="25"/>
  <c r="AI77" i="25" s="1"/>
  <c r="J67" i="26"/>
  <c r="C271" i="26"/>
  <c r="C277" i="26" s="1"/>
  <c r="C63" i="19" s="1"/>
  <c r="C270" i="26"/>
  <c r="F254" i="26"/>
  <c r="F255" i="26"/>
  <c r="F256" i="26"/>
  <c r="F253" i="26"/>
  <c r="F276" i="26" s="1"/>
  <c r="C54" i="19"/>
  <c r="C55" i="19" s="1"/>
  <c r="G226" i="26"/>
  <c r="F17" i="19"/>
  <c r="C57" i="19"/>
  <c r="C58" i="19" s="1"/>
  <c r="F23" i="19"/>
  <c r="F24" i="19" s="1"/>
  <c r="F62" i="26"/>
  <c r="F262" i="26" s="1"/>
  <c r="E263" i="26"/>
  <c r="F245" i="26"/>
  <c r="F78" i="26"/>
  <c r="F83" i="26" s="1"/>
  <c r="F59" i="26"/>
  <c r="M50" i="26"/>
  <c r="F112" i="26"/>
  <c r="D115" i="26"/>
  <c r="L37" i="26"/>
  <c r="D92" i="26"/>
  <c r="O26" i="25" s="1"/>
  <c r="K32" i="26"/>
  <c r="E115" i="26"/>
  <c r="D116" i="26"/>
  <c r="E116" i="26"/>
  <c r="F147" i="26"/>
  <c r="M17" i="26" s="1"/>
  <c r="F116" i="26"/>
  <c r="E81" i="26"/>
  <c r="E65" i="26"/>
  <c r="E73" i="26" s="1"/>
  <c r="L62" i="26" s="1"/>
  <c r="E77" i="26"/>
  <c r="E61" i="26"/>
  <c r="E69" i="26" s="1"/>
  <c r="E59" i="26"/>
  <c r="L49" i="26"/>
  <c r="E100" i="26"/>
  <c r="L54" i="26"/>
  <c r="D65" i="26"/>
  <c r="D73" i="26" s="1"/>
  <c r="K62" i="26" s="1"/>
  <c r="D81" i="26"/>
  <c r="E111" i="26"/>
  <c r="E66" i="26"/>
  <c r="E74" i="26" s="1"/>
  <c r="L63" i="26" s="1"/>
  <c r="E82" i="26"/>
  <c r="D69" i="26"/>
  <c r="K13" i="26" s="1"/>
  <c r="D55" i="26"/>
  <c r="K49" i="26"/>
  <c r="F109" i="26"/>
  <c r="L53" i="26"/>
  <c r="D82" i="26"/>
  <c r="D66" i="26"/>
  <c r="D74" i="26" s="1"/>
  <c r="K63" i="26" s="1"/>
  <c r="K53" i="26"/>
  <c r="F43" i="19" l="1"/>
  <c r="F49" i="19" s="1"/>
  <c r="F273" i="26"/>
  <c r="M41" i="26"/>
  <c r="C72" i="19"/>
  <c r="C71" i="19"/>
  <c r="J68" i="26"/>
  <c r="F261" i="26"/>
  <c r="F269" i="26" s="1"/>
  <c r="F260" i="26"/>
  <c r="F279" i="26" s="1"/>
  <c r="K4" i="26"/>
  <c r="J23" i="19"/>
  <c r="J24" i="19" s="1"/>
  <c r="K23" i="19"/>
  <c r="K24" i="19" s="1"/>
  <c r="E145" i="26"/>
  <c r="L15" i="26" s="1"/>
  <c r="L4" i="26"/>
  <c r="K9" i="26"/>
  <c r="L8" i="26"/>
  <c r="L9" i="26"/>
  <c r="L7" i="26"/>
  <c r="E146" i="26"/>
  <c r="L16" i="26" s="1"/>
  <c r="L6" i="26"/>
  <c r="K7" i="26"/>
  <c r="D146" i="26"/>
  <c r="K16" i="26" s="1"/>
  <c r="K20" i="19"/>
  <c r="K21" i="19"/>
  <c r="F70" i="26"/>
  <c r="F75" i="26" s="1"/>
  <c r="M55" i="26"/>
  <c r="F67" i="26"/>
  <c r="D113" i="26"/>
  <c r="K51" i="26"/>
  <c r="K37" i="26"/>
  <c r="F117" i="26"/>
  <c r="E112" i="26"/>
  <c r="D145" i="26"/>
  <c r="L55" i="26"/>
  <c r="E109" i="26"/>
  <c r="E67" i="26"/>
  <c r="D79" i="26"/>
  <c r="D63" i="26"/>
  <c r="K58" i="26"/>
  <c r="D100" i="26"/>
  <c r="V32" i="25" s="1"/>
  <c r="E83" i="26"/>
  <c r="M67" i="26" l="1"/>
  <c r="F50" i="19"/>
  <c r="C278" i="26"/>
  <c r="E147" i="26"/>
  <c r="L17" i="26" s="1"/>
  <c r="E181" i="26"/>
  <c r="G271" i="26"/>
  <c r="G279" i="26"/>
  <c r="V41" i="25" s="1"/>
  <c r="D23" i="19"/>
  <c r="D24" i="19" s="1"/>
  <c r="D62" i="26"/>
  <c r="D78" i="26"/>
  <c r="J20" i="19"/>
  <c r="J21" i="19"/>
  <c r="M59" i="26"/>
  <c r="M64" i="26"/>
  <c r="D71" i="26"/>
  <c r="K6" i="26" s="1"/>
  <c r="C239" i="26"/>
  <c r="D109" i="26"/>
  <c r="Y8" i="25" s="1"/>
  <c r="K50" i="26"/>
  <c r="D59" i="26"/>
  <c r="E117" i="26"/>
  <c r="F239" i="26"/>
  <c r="E75" i="26"/>
  <c r="L64" i="26" s="1"/>
  <c r="L58" i="26"/>
  <c r="E239" i="26"/>
  <c r="D239" i="26"/>
  <c r="O27" i="25"/>
  <c r="D43" i="19" l="1"/>
  <c r="K15" i="26"/>
  <c r="AH83" i="25"/>
  <c r="AI83" i="25" s="1"/>
  <c r="AH80" i="25"/>
  <c r="AI80" i="25" s="1"/>
  <c r="AH79" i="25"/>
  <c r="AI79" i="25" s="1"/>
  <c r="AH67" i="25"/>
  <c r="AI67" i="25" s="1"/>
  <c r="C60" i="19"/>
  <c r="C61" i="19" s="1"/>
  <c r="J5" i="26"/>
  <c r="D260" i="26"/>
  <c r="D279" i="26" s="1"/>
  <c r="D261" i="26"/>
  <c r="D269" i="26" s="1"/>
  <c r="D262" i="26"/>
  <c r="D273" i="26" s="1"/>
  <c r="X26" i="25"/>
  <c r="AH78" i="25" s="1"/>
  <c r="AI78" i="25" s="1"/>
  <c r="D147" i="26"/>
  <c r="K17" i="26" s="1"/>
  <c r="K8" i="26"/>
  <c r="G270" i="26"/>
  <c r="G278" i="26" s="1"/>
  <c r="J44" i="25"/>
  <c r="D70" i="26"/>
  <c r="K55" i="26"/>
  <c r="I23" i="19"/>
  <c r="I24" i="19" s="1"/>
  <c r="I20" i="19"/>
  <c r="I21" i="19"/>
  <c r="K60" i="26"/>
  <c r="D67" i="26"/>
  <c r="Y32" i="25" s="1"/>
  <c r="D83" i="26"/>
  <c r="D117" i="26"/>
  <c r="K67" i="26" l="1"/>
  <c r="D44" i="19"/>
  <c r="D50" i="19"/>
  <c r="D49" i="19"/>
  <c r="AH81" i="25"/>
  <c r="AI81" i="25" s="1"/>
  <c r="AH69" i="25"/>
  <c r="AI69" i="25" s="1"/>
  <c r="AH85" i="25"/>
  <c r="AI85" i="25" s="1"/>
  <c r="AH65" i="25"/>
  <c r="AI65" i="25" s="1"/>
  <c r="C65" i="19"/>
  <c r="J69" i="26"/>
  <c r="G277" i="26"/>
  <c r="F263" i="26"/>
  <c r="K59" i="26"/>
  <c r="D75" i="26"/>
  <c r="D245" i="26"/>
  <c r="O19" i="25"/>
  <c r="C67" i="19" l="1"/>
  <c r="C64" i="19"/>
  <c r="C66" i="19"/>
  <c r="C69" i="19"/>
  <c r="C70" i="19" s="1"/>
  <c r="K64" i="26"/>
  <c r="Z29" i="25"/>
  <c r="I38" i="25"/>
  <c r="AH66" i="25" l="1"/>
  <c r="AI66" i="25" s="1"/>
  <c r="AH82" i="25"/>
  <c r="AI82" i="25" s="1"/>
  <c r="AH63" i="25"/>
  <c r="AI63" i="25" s="1"/>
  <c r="D263" i="26"/>
  <c r="O41" i="25"/>
  <c r="O47" i="25" l="1"/>
  <c r="D165" i="26" l="1"/>
  <c r="D257" i="26" l="1"/>
  <c r="E165" i="26" l="1"/>
  <c r="E257" i="26" l="1"/>
  <c r="F165" i="26" l="1"/>
  <c r="F257" i="26" l="1"/>
  <c r="D133" i="26"/>
  <c r="F133" i="26"/>
  <c r="E133" i="26"/>
  <c r="E47" i="19" l="1"/>
  <c r="E46" i="19"/>
  <c r="F143" i="26"/>
  <c r="M13" i="26" s="1"/>
  <c r="F141" i="26"/>
  <c r="F148" i="26"/>
  <c r="M18" i="26" s="1"/>
  <c r="D148" i="26"/>
  <c r="K18" i="26" s="1"/>
  <c r="E148" i="26"/>
  <c r="L18" i="26" s="1"/>
  <c r="E143" i="26"/>
  <c r="L13" i="26" s="1"/>
  <c r="E141" i="26"/>
  <c r="E44" i="19"/>
  <c r="E51" i="19"/>
  <c r="E48" i="19"/>
  <c r="E52" i="19"/>
  <c r="F18" i="19"/>
  <c r="F14" i="19"/>
  <c r="F15" i="19" s="1"/>
  <c r="F125" i="26"/>
  <c r="F144" i="26"/>
  <c r="M14" i="26" s="1"/>
  <c r="D18" i="19"/>
  <c r="D125" i="26"/>
  <c r="F51" i="19"/>
  <c r="F46" i="19"/>
  <c r="F47" i="19"/>
  <c r="F44" i="19"/>
  <c r="F52" i="19"/>
  <c r="F48" i="19"/>
  <c r="E18" i="19"/>
  <c r="E14" i="19"/>
  <c r="E15" i="19" s="1"/>
  <c r="E125" i="26"/>
  <c r="E144" i="26"/>
  <c r="L14" i="26" s="1"/>
  <c r="L46" i="26" l="1"/>
  <c r="M46" i="26"/>
  <c r="V8" i="25"/>
  <c r="K17" i="19"/>
  <c r="J17" i="19"/>
  <c r="J14" i="19"/>
  <c r="J15" i="19" s="1"/>
  <c r="J18" i="19"/>
  <c r="E149" i="26"/>
  <c r="J26" i="19" s="1"/>
  <c r="J27" i="19" s="1"/>
  <c r="E26" i="19"/>
  <c r="E27" i="19" s="1"/>
  <c r="I18" i="19"/>
  <c r="F149" i="26"/>
  <c r="K26" i="19" s="1"/>
  <c r="K27" i="19" s="1"/>
  <c r="F26" i="19"/>
  <c r="F27" i="19" s="1"/>
  <c r="K14" i="19"/>
  <c r="K15" i="19" s="1"/>
  <c r="K18" i="19"/>
  <c r="M19" i="26" l="1"/>
  <c r="L19" i="26"/>
  <c r="AH68" i="25"/>
  <c r="AI68" i="25" s="1"/>
  <c r="AH84" i="25"/>
  <c r="AI84" i="25" s="1"/>
  <c r="AH64" i="25"/>
  <c r="AI64" i="25" s="1"/>
  <c r="D181" i="26"/>
  <c r="D46" i="19"/>
  <c r="F54" i="19" l="1"/>
  <c r="F55" i="19" s="1"/>
  <c r="D141" i="26"/>
  <c r="I14" i="19" s="1"/>
  <c r="F57" i="19"/>
  <c r="F58" i="19" s="1"/>
  <c r="D144" i="26"/>
  <c r="K14" i="26" s="1"/>
  <c r="E57" i="19"/>
  <c r="E58" i="19" s="1"/>
  <c r="D14" i="19"/>
  <c r="D15" i="19" s="1"/>
  <c r="D17" i="19"/>
  <c r="D47" i="19"/>
  <c r="D51" i="19"/>
  <c r="D52" i="19"/>
  <c r="D48" i="19"/>
  <c r="K46" i="26" l="1"/>
  <c r="I15" i="19"/>
  <c r="I17" i="19"/>
  <c r="T45" i="25"/>
  <c r="D54" i="19"/>
  <c r="D55" i="19" s="1"/>
  <c r="V40" i="25"/>
  <c r="D26" i="19"/>
  <c r="D27" i="19" s="1"/>
  <c r="D149" i="26"/>
  <c r="I26" i="19" s="1"/>
  <c r="I27" i="19" s="1"/>
  <c r="E54" i="19"/>
  <c r="E55" i="19" s="1"/>
  <c r="AA40" i="25"/>
  <c r="D57" i="19"/>
  <c r="D58" i="19" s="1"/>
  <c r="K19" i="26" l="1"/>
  <c r="AH88" i="25"/>
  <c r="AI88" i="25" s="1"/>
  <c r="AH72" i="25"/>
  <c r="AI72" i="25" s="1"/>
  <c r="AH70" i="25"/>
  <c r="AI70" i="25" s="1"/>
  <c r="AH86" i="25"/>
  <c r="AI86" i="25" s="1"/>
  <c r="F251" i="26"/>
  <c r="M10" i="26" s="1"/>
  <c r="E271" i="26" l="1"/>
  <c r="E270" i="26"/>
  <c r="E278" i="26" s="1"/>
  <c r="E60" i="19" s="1"/>
  <c r="E61" i="19" s="1"/>
  <c r="D271" i="26"/>
  <c r="D270" i="26"/>
  <c r="D278" i="26" s="1"/>
  <c r="F271" i="26"/>
  <c r="F277" i="26" s="1"/>
  <c r="M69" i="26" s="1"/>
  <c r="F270" i="26"/>
  <c r="F278" i="26" s="1"/>
  <c r="F60" i="19" s="1"/>
  <c r="F61" i="19" s="1"/>
  <c r="E251" i="26"/>
  <c r="L10" i="26" s="1"/>
  <c r="D251" i="26"/>
  <c r="K10" i="26" s="1"/>
  <c r="O40" i="25"/>
  <c r="F63" i="19" l="1"/>
  <c r="M68" i="26"/>
  <c r="M5" i="26"/>
  <c r="P45" i="25"/>
  <c r="D60" i="19"/>
  <c r="D61" i="19" s="1"/>
  <c r="O46" i="25"/>
  <c r="L68" i="26"/>
  <c r="K68" i="26"/>
  <c r="E277" i="26"/>
  <c r="D277" i="26"/>
  <c r="AD22" i="25" s="1"/>
  <c r="AH73" i="25" l="1"/>
  <c r="AI73" i="25" s="1"/>
  <c r="AH89" i="25"/>
  <c r="AI89" i="25" s="1"/>
  <c r="F72" i="19"/>
  <c r="F71" i="19"/>
  <c r="F67" i="19"/>
  <c r="F65" i="19"/>
  <c r="F64" i="19"/>
  <c r="F69" i="19"/>
  <c r="F70" i="19" s="1"/>
  <c r="F66" i="19"/>
  <c r="K51" i="25"/>
  <c r="P61" i="25" s="1"/>
  <c r="D63" i="19"/>
  <c r="K5" i="26"/>
  <c r="AD21" i="25" s="1"/>
  <c r="K69" i="26"/>
  <c r="AD23" i="25" s="1"/>
  <c r="E63" i="19"/>
  <c r="L5" i="26"/>
  <c r="L69" i="26"/>
  <c r="AH87" i="25" l="1"/>
  <c r="AI87" i="25" s="1"/>
  <c r="AH71" i="25"/>
  <c r="AI71" i="25" s="1"/>
  <c r="E61" i="25"/>
  <c r="E72" i="19"/>
  <c r="E71" i="19"/>
  <c r="D72" i="19"/>
  <c r="D71" i="19"/>
  <c r="D65" i="19"/>
  <c r="D69" i="19"/>
  <c r="D70" i="19" s="1"/>
  <c r="D64" i="19"/>
  <c r="D67" i="19"/>
  <c r="D66" i="19"/>
  <c r="E69" i="19"/>
  <c r="E70" i="19" s="1"/>
  <c r="E65" i="19"/>
  <c r="E64" i="19"/>
  <c r="E66" i="19"/>
  <c r="E67"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Josh Cottom</author>
    <author>Steffen Blume</author>
  </authors>
  <commentList>
    <comment ref="I10" authorId="0" shapeId="0" xr:uid="{00000000-0006-0000-0200-000001000000}">
      <text>
        <r>
          <rPr>
            <sz val="9"/>
            <color indexed="81"/>
            <rFont val="Tahoma"/>
            <family val="2"/>
          </rPr>
          <t xml:space="preserve">Data reliability refers to the confidence you have in the data.
</t>
        </r>
        <r>
          <rPr>
            <b/>
            <sz val="9"/>
            <color indexed="81"/>
            <rFont val="Tahoma"/>
            <family val="2"/>
          </rPr>
          <t xml:space="preserve">High </t>
        </r>
        <r>
          <rPr>
            <sz val="9"/>
            <color indexed="81"/>
            <rFont val="Tahoma"/>
            <family val="2"/>
          </rPr>
          <t xml:space="preserve">should be selected when primary data collection has been performed according to the methods described in the user manual and you are confident with the results.
</t>
        </r>
        <r>
          <rPr>
            <b/>
            <sz val="9"/>
            <color indexed="81"/>
            <rFont val="Tahoma"/>
            <family val="2"/>
          </rPr>
          <t>Medium</t>
        </r>
        <r>
          <rPr>
            <sz val="9"/>
            <color indexed="81"/>
            <rFont val="Tahoma"/>
            <family val="2"/>
          </rPr>
          <t xml:space="preserve"> should be selected if you are using recent data but it has not been collected specifically for this project using the methods outlined in the user manual. Alternatively, medium could be selected if you have followed the primary data collection methods, but believe it may have some innaccuracies or are less confident with the result.
</t>
        </r>
        <r>
          <rPr>
            <b/>
            <sz val="9"/>
            <color indexed="81"/>
            <rFont val="Tahoma"/>
            <family val="2"/>
          </rPr>
          <t>Low</t>
        </r>
        <r>
          <rPr>
            <sz val="9"/>
            <color indexed="81"/>
            <rFont val="Tahoma"/>
            <family val="2"/>
          </rPr>
          <t xml:space="preserve"> should be selected if you are using old data or ones which the original source or method is unclear. Likewise, choose this option if you are highly uncertain over the accuracy of the value, or if the value was an assumption.</t>
        </r>
      </text>
    </comment>
    <comment ref="F11" authorId="0" shapeId="0" xr:uid="{00000000-0006-0000-0200-000002000000}">
      <text>
        <r>
          <rPr>
            <sz val="9"/>
            <color indexed="81"/>
            <rFont val="Tahoma"/>
            <family val="2"/>
          </rPr>
          <t>The information fields are populated with helpful notes and instructions for completing the data entry. Alternatively, click the ⓘ symbols for extra information and definitions.</t>
        </r>
      </text>
    </comment>
    <comment ref="H11" authorId="0" shapeId="0" xr:uid="{00000000-0006-0000-0200-000003000000}">
      <text>
        <r>
          <rPr>
            <sz val="9"/>
            <color indexed="81"/>
            <rFont val="Tahoma"/>
            <family val="2"/>
          </rPr>
          <t>Please populate the metadata fields with any useful information or explanations that relate to the data entry value.</t>
        </r>
      </text>
    </comment>
    <comment ref="B12" authorId="0" shapeId="0" xr:uid="{00000000-0006-0000-0200-000004000000}">
      <text>
        <r>
          <rPr>
            <b/>
            <sz val="9"/>
            <color indexed="81"/>
            <rFont val="Tahoma"/>
            <family val="2"/>
          </rPr>
          <t xml:space="preserve">Population
</t>
        </r>
        <r>
          <rPr>
            <sz val="9"/>
            <color indexed="81"/>
            <rFont val="Tahoma"/>
            <family val="2"/>
          </rPr>
          <t>Population refers to the permanent population within the municipality. If tourism is prevalent within the area, the average daily number of tourists should also be included within this number.</t>
        </r>
      </text>
    </comment>
    <comment ref="B13" authorId="0" shapeId="0" xr:uid="{00000000-0006-0000-0200-000005000000}">
      <text>
        <r>
          <rPr>
            <b/>
            <sz val="9"/>
            <color indexed="81"/>
            <rFont val="Tahoma"/>
            <family val="2"/>
          </rPr>
          <t>MSW Generation Rate</t>
        </r>
        <r>
          <rPr>
            <sz val="9"/>
            <color indexed="81"/>
            <rFont val="Tahoma"/>
            <family val="2"/>
          </rPr>
          <t xml:space="preserve">
MSW includes household, commercial, institutional and public solid waste. This value should be determined by applying waste characterisation studies within the study area as discussed in the user manual.</t>
        </r>
      </text>
    </comment>
    <comment ref="B14" authorId="0" shapeId="0" xr:uid="{00000000-0006-0000-0200-000006000000}">
      <text>
        <r>
          <rPr>
            <b/>
            <sz val="9"/>
            <color indexed="81"/>
            <rFont val="Tahoma"/>
            <family val="2"/>
          </rPr>
          <t>MSW Composition</t>
        </r>
        <r>
          <rPr>
            <sz val="9"/>
            <color indexed="81"/>
            <rFont val="Tahoma"/>
            <family val="2"/>
          </rPr>
          <t xml:space="preserve">
The MSW composition should be determined using waste characterisation studies where possible. The WFD categorises waste into 6 broad types as defined in the user manual. </t>
        </r>
      </text>
    </comment>
    <comment ref="C15" authorId="0" shapeId="0" xr:uid="{00000000-0006-0000-0200-000007000000}">
      <text>
        <r>
          <rPr>
            <b/>
            <sz val="9"/>
            <color indexed="81"/>
            <rFont val="Tahoma"/>
            <family val="2"/>
          </rPr>
          <t>Plastics:</t>
        </r>
        <r>
          <rPr>
            <sz val="9"/>
            <color indexed="81"/>
            <rFont val="Tahoma"/>
            <family val="2"/>
          </rPr>
          <t xml:space="preserve">
The plastic fraction includes plastic packaging waste and other items primarily composed of plastic. This therefore excludes multi-material items which may only contain a small amount of plastic.</t>
        </r>
      </text>
    </comment>
    <comment ref="C18" authorId="0" shapeId="0" xr:uid="{00000000-0006-0000-0200-000008000000}">
      <text>
        <r>
          <rPr>
            <b/>
            <sz val="9"/>
            <color indexed="81"/>
            <rFont val="Tahoma"/>
            <family val="2"/>
          </rPr>
          <t>Other:</t>
        </r>
        <r>
          <rPr>
            <sz val="9"/>
            <color indexed="81"/>
            <rFont val="Tahoma"/>
            <family val="2"/>
          </rPr>
          <t xml:space="preserve">
Other includes all WEEE, household hazardous waste (HHW), textiles, wood and other materials (including multimaterials) not covered by other categories</t>
        </r>
      </text>
    </comment>
    <comment ref="I21" authorId="0" shapeId="0" xr:uid="{00000000-0006-0000-0200-000009000000}">
      <text>
        <r>
          <rPr>
            <sz val="9"/>
            <color indexed="81"/>
            <rFont val="Tahoma"/>
            <family val="2"/>
          </rPr>
          <t>Data reliability refers to the confidence you have in the data.
High should be selected when primary data collection has been performed according to the methods described in the user manual and you are confident with the results.
Medium should be selected if you are using recent data but it has not been collected specifically for this project using the methods outlined in the user manual. Alternatively, medium could be selected if you have followed the primary data collection methods, but believe it may have some innaccuracies or are less confident with the result.
Low should be selected if you are using old data or ones which the original source or method is unclear. Likewise, choose this option if you are highly uncertain over the accuracy of the value, or if the value was an assumption.</t>
        </r>
      </text>
    </comment>
    <comment ref="F22" authorId="0" shapeId="0" xr:uid="{00000000-0006-0000-0200-00000A000000}">
      <text>
        <r>
          <rPr>
            <sz val="9"/>
            <color indexed="81"/>
            <rFont val="Tahoma"/>
            <family val="2"/>
          </rPr>
          <t>The information fields are populated with helpful notes and instructions for completing the data entry. Alternatively, click the ⓘ symbols for extra information and definitions.</t>
        </r>
      </text>
    </comment>
    <comment ref="H22" authorId="0" shapeId="0" xr:uid="{00000000-0006-0000-0200-00000B000000}">
      <text>
        <r>
          <rPr>
            <sz val="9"/>
            <color indexed="81"/>
            <rFont val="Tahoma"/>
            <family val="2"/>
          </rPr>
          <t>Please populate the metadata fields with any useful information or explanations that relate to the data entry value.</t>
        </r>
      </text>
    </comment>
    <comment ref="B23" authorId="0" shapeId="0" xr:uid="{00000000-0006-0000-0200-00000C000000}">
      <text>
        <r>
          <rPr>
            <b/>
            <sz val="9"/>
            <color indexed="81"/>
            <rFont val="Tahoma"/>
            <family val="2"/>
          </rPr>
          <t>Disposal Facilities</t>
        </r>
        <r>
          <rPr>
            <sz val="9"/>
            <color indexed="81"/>
            <rFont val="Tahoma"/>
            <family val="2"/>
          </rPr>
          <t xml:space="preserve">
Disposal facilities refer to disposal sites which are regularly (i.e. daily) used by the public authorities and private collectors, regardless of their level of control and legality. Such sites may or may not have an official recognition (license).  Also, they may be managed in either a controlled or uncontrolled manner. 
Disposal sites in this assessment exclude other unrecognized grounds by the public authorities which accommodate minor amounts occasionally. Public authorities may organise clean ups to remove the waste from these disposal sites. Amounts diverted to such sites categorise as uncollected waste for the purpose of this assessment.</t>
        </r>
      </text>
    </comment>
    <comment ref="B29" authorId="0" shapeId="0" xr:uid="{00000000-0006-0000-0200-00000D000000}">
      <text>
        <r>
          <rPr>
            <b/>
            <sz val="9"/>
            <color indexed="81"/>
            <rFont val="Tahoma"/>
            <family val="2"/>
          </rPr>
          <t xml:space="preserve">Energy from Waste (EfW)
</t>
        </r>
        <r>
          <rPr>
            <sz val="9"/>
            <color indexed="81"/>
            <rFont val="Tahoma"/>
            <family val="2"/>
          </rPr>
          <t>Includes incineration and advanced thermal treatments (gasification, pyrolysis, biogas etc.) but excludes the open burning of waste and the burning of waste as a fuel by residents.</t>
        </r>
      </text>
    </comment>
    <comment ref="B35" authorId="0" shapeId="0" xr:uid="{00000000-0006-0000-0200-00000E000000}">
      <text>
        <r>
          <rPr>
            <b/>
            <sz val="9"/>
            <color indexed="81"/>
            <rFont val="Tahoma"/>
            <family val="2"/>
          </rPr>
          <t>Sorting for recovery</t>
        </r>
        <r>
          <rPr>
            <sz val="9"/>
            <color indexed="81"/>
            <rFont val="Tahoma"/>
            <family val="2"/>
          </rPr>
          <t xml:space="preserve">
Waste is considered sorted for recovery after the first sorting stage. Although further sorting is likely at subsequent stages in the reprocessing, these are deemed out of scope
Recovery here is defined as all biological and mechanical recycling, and biological and mechanical reovery options, expect energy from waste which is considered separately. Further details are given in the user manual.</t>
        </r>
      </text>
    </comment>
    <comment ref="B41" authorId="0" shapeId="0" xr:uid="{00000000-0006-0000-0200-00000F000000}">
      <text>
        <r>
          <rPr>
            <b/>
            <sz val="9"/>
            <color indexed="81"/>
            <rFont val="Tahoma"/>
            <family val="2"/>
          </rPr>
          <t xml:space="preserve">Sorting for recovery
</t>
        </r>
        <r>
          <rPr>
            <sz val="9"/>
            <color indexed="81"/>
            <rFont val="Tahoma"/>
            <family val="2"/>
          </rPr>
          <t>Waste is considered sorted for recovery after the first sorting stage. Although further sorting is likely at subsequent stages in the reprocessing, these are deemed out of scope
Recovery here is defined as all biological and mechanical recycling, and biological and mechanical reovery options, expect energy from waste which is considered separately. Further details are given in the user manual.</t>
        </r>
      </text>
    </comment>
    <comment ref="B47" authorId="0" shapeId="0" xr:uid="{00000000-0006-0000-0200-000010000000}">
      <text>
        <r>
          <rPr>
            <b/>
            <sz val="9"/>
            <color indexed="81"/>
            <rFont val="Tahoma"/>
            <family val="2"/>
          </rPr>
          <t>Informal Service Chain</t>
        </r>
        <r>
          <rPr>
            <sz val="9"/>
            <color indexed="81"/>
            <rFont val="Tahoma"/>
            <family val="2"/>
          </rPr>
          <t xml:space="preserve">
The informal service chain is defined as the section of the informal sector which collect mixed waste from households as a service. This typically is financed via charging households a fee for collection but this may also be supplemented by separating recyclables from the mixed waste for sale.</t>
        </r>
      </text>
    </comment>
    <comment ref="D48" authorId="1" shapeId="0" xr:uid="{00000000-0006-0000-0200-000011000000}">
      <text>
        <r>
          <rPr>
            <b/>
            <sz val="9"/>
            <color indexed="81"/>
            <rFont val="Segoe UI"/>
            <family val="2"/>
          </rPr>
          <t>% of waste collected by informal service chain compared to all service chain</t>
        </r>
        <r>
          <rPr>
            <sz val="9"/>
            <color indexed="81"/>
            <rFont val="Segoe UI"/>
            <family val="2"/>
          </rPr>
          <t xml:space="preserve">
This assumes the service chains collected all MSW fractions and thefore only a single value for mixed MSW is required.</t>
        </r>
      </text>
    </comment>
    <comment ref="I57" authorId="0" shapeId="0" xr:uid="{00000000-0006-0000-0200-000012000000}">
      <text>
        <r>
          <rPr>
            <sz val="9"/>
            <color indexed="81"/>
            <rFont val="Tahoma"/>
            <family val="2"/>
          </rPr>
          <t>Data reliability refers to the confidence you have in the data.
High should be selected when primary data collection has been performed according to the methods described in the user manual and you are confident with the results.
Medium should be selected if you are using recent data but it has not been collected specifically for this project using the methods outlined in the user manual. Alternatively, medium could be selected if you have followed the primary data collection methods, but believe it may have some innaccuracies or are less confident with the result.
Low should be selected if you are using old data or ones which the original source or method is unclear. Likewise, choose this option if you are highly uncertain over the accuracy of the value, or if the value was an assumption.</t>
        </r>
      </text>
    </comment>
    <comment ref="F58" authorId="0" shapeId="0" xr:uid="{00000000-0006-0000-0200-000013000000}">
      <text>
        <r>
          <rPr>
            <sz val="9"/>
            <color indexed="81"/>
            <rFont val="Tahoma"/>
            <family val="2"/>
          </rPr>
          <t>The information fields are populated with helpful notes and instructions for completing the data entry. Alternatively, click the ⓘ symbols for extra information and definitions.</t>
        </r>
      </text>
    </comment>
    <comment ref="H58" authorId="0" shapeId="0" xr:uid="{00000000-0006-0000-0200-000014000000}">
      <text>
        <r>
          <rPr>
            <sz val="9"/>
            <color indexed="81"/>
            <rFont val="Tahoma"/>
            <family val="2"/>
          </rPr>
          <t>Please populate the metadata fields with any useful information or explanations that relate to the data entry value.</t>
        </r>
      </text>
    </comment>
    <comment ref="B59" authorId="0" shapeId="0" xr:uid="{00000000-0006-0000-0200-000015000000}">
      <text>
        <r>
          <rPr>
            <b/>
            <sz val="9"/>
            <color indexed="81"/>
            <rFont val="Tahoma"/>
            <family val="2"/>
          </rPr>
          <t>Managed in controlled facilties</t>
        </r>
        <r>
          <rPr>
            <sz val="9"/>
            <color indexed="81"/>
            <rFont val="Tahoma"/>
            <family val="2"/>
          </rPr>
          <t xml:space="preserve">
The “proportion of waste managed in controlled facilities” relates to the SDG11.6.1 sub-indicator. Although this sub-indicator is for the total of all recovery and disposal facilities, here these are separated into categories for easier assignment.</t>
        </r>
      </text>
    </comment>
    <comment ref="I62" authorId="0" shapeId="0" xr:uid="{00000000-0006-0000-0200-000016000000}">
      <text>
        <r>
          <rPr>
            <sz val="9"/>
            <color indexed="81"/>
            <rFont val="Tahoma"/>
            <family val="2"/>
          </rPr>
          <t>Data reliability refers to the confidence you have in the data.
High should be selected when primary data collection has been performed according to the methods described in the user manual and you are confident with the results.
Medium should be selected if you are using recent data but it has not been collected specifically for this project using the methods outlined in the user manual. Alternatively, medium could be selected if you have followed the primary data collection methods, but believe it may have some innaccuracies or are less confident with the result.
Low should be selected if you are using old data or ones which the original source or method is unclear. Likewise, choose this option if you are highly uncertain over the accuracy of the value, or if the value was an assumption.</t>
        </r>
      </text>
    </comment>
    <comment ref="F63" authorId="0" shapeId="0" xr:uid="{00000000-0006-0000-0200-000017000000}">
      <text>
        <r>
          <rPr>
            <sz val="9"/>
            <color indexed="81"/>
            <rFont val="Tahoma"/>
            <family val="2"/>
          </rPr>
          <t>The information fields are populated with helpful notes and instructions for completing the data entry. Alternatively, click the ⓘ symbols for extra information and definitions.</t>
        </r>
      </text>
    </comment>
    <comment ref="H63" authorId="0" shapeId="0" xr:uid="{00000000-0006-0000-0200-000018000000}">
      <text>
        <r>
          <rPr>
            <sz val="9"/>
            <color indexed="81"/>
            <rFont val="Tahoma"/>
            <family val="2"/>
          </rPr>
          <t>Please populate the metadata fields with any useful information or explanations that relate to the data entry value.</t>
        </r>
      </text>
    </comment>
    <comment ref="I85" authorId="0" shapeId="0" xr:uid="{00000000-0006-0000-0200-000019000000}">
      <text>
        <r>
          <rPr>
            <sz val="9"/>
            <color indexed="81"/>
            <rFont val="Tahoma"/>
            <family val="2"/>
          </rPr>
          <t>Data reliability refers to the confidence you have in the data.
High should be selected when primary data collection has been performed according to the methods described in the user manual and you are confident with the results.
Medium should be selected if you are using recent data but it has not been collected specifically for this project using the methods outlined in the user manual. Alternatively, medium could be selected if you have followed the primary data collection methods, but believe it may have some innaccuracies or are less confident with the result.
Low should be selected if you are using old data or ones which the original source or method is unclear. Likewise, choose this option if you are highly uncertain over the accuracy of the value, or if the value was an assumption.</t>
        </r>
      </text>
    </comment>
    <comment ref="F86" authorId="0" shapeId="0" xr:uid="{00000000-0006-0000-0200-00001A000000}">
      <text>
        <r>
          <rPr>
            <b/>
            <sz val="9"/>
            <color indexed="81"/>
            <rFont val="Tahoma"/>
            <family val="2"/>
          </rPr>
          <t>Normalised Fates (%):</t>
        </r>
        <r>
          <rPr>
            <sz val="9"/>
            <color indexed="81"/>
            <rFont val="Tahoma"/>
            <family val="2"/>
          </rPr>
          <t xml:space="preserve">
Normalised fates show the  percentage allocated to each fate based on the selection chosen in the dropdown boxes. These fates are normalised for each process to 100% based on the allocation of other fates for that process.
Users should use the fate descriptive tables in the user manual to decide which value to score each fate. However, if detailed information exists already on these fates, the selected value can be altered so that the normalised fates better match this measured value.</t>
        </r>
      </text>
    </comment>
    <comment ref="G86" authorId="0" shapeId="0" xr:uid="{00000000-0006-0000-0200-00001B000000}">
      <text>
        <r>
          <rPr>
            <sz val="9"/>
            <color indexed="81"/>
            <rFont val="Tahoma"/>
            <family val="2"/>
          </rPr>
          <t>The information fields are populated with helpful notes and instructions for completing the data entry. Alternatively, click the ⓘ symbols for extra information and definitions.</t>
        </r>
      </text>
    </comment>
    <comment ref="H86" authorId="0" shapeId="0" xr:uid="{00000000-0006-0000-0200-00001C000000}">
      <text>
        <r>
          <rPr>
            <sz val="9"/>
            <color indexed="81"/>
            <rFont val="Tahoma"/>
            <family val="2"/>
          </rPr>
          <t>Please populate the metadata fields with any useful information or explanations that relate to the data entry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Josh Cottom</author>
  </authors>
  <commentList>
    <comment ref="E10" authorId="0" shapeId="0" xr:uid="{00000000-0006-0000-0300-000001000000}">
      <text>
        <r>
          <rPr>
            <sz val="9"/>
            <color indexed="81"/>
            <rFont val="Tahoma"/>
            <family val="2"/>
          </rPr>
          <t>The baseline values shown here relate to those input on the "Baseline data entry" sheet and provide reference for input of scenarios.</t>
        </r>
      </text>
    </comment>
    <comment ref="J11" authorId="0" shapeId="0" xr:uid="{00000000-0006-0000-0300-000002000000}">
      <text>
        <r>
          <rPr>
            <sz val="9"/>
            <color indexed="81"/>
            <rFont val="Tahoma"/>
            <family val="2"/>
          </rPr>
          <t>Please populate the metadata fields with any useful information or explanations that relate to the data entry value.</t>
        </r>
      </text>
    </comment>
    <comment ref="B12" authorId="0" shapeId="0" xr:uid="{00000000-0006-0000-0300-000003000000}">
      <text>
        <r>
          <rPr>
            <b/>
            <sz val="9"/>
            <color indexed="81"/>
            <rFont val="Tahoma"/>
            <family val="2"/>
          </rPr>
          <t xml:space="preserve">Population
</t>
        </r>
        <r>
          <rPr>
            <sz val="9"/>
            <color indexed="81"/>
            <rFont val="Tahoma"/>
            <family val="2"/>
          </rPr>
          <t>Population refers to the permanent population within the municipality. If tourism is prevalent within the area, the average daily number of tourists should also be included within this number.</t>
        </r>
      </text>
    </comment>
    <comment ref="B13" authorId="0" shapeId="0" xr:uid="{00000000-0006-0000-0300-000004000000}">
      <text>
        <r>
          <rPr>
            <b/>
            <sz val="9"/>
            <color indexed="81"/>
            <rFont val="Tahoma"/>
            <family val="2"/>
          </rPr>
          <t>MSW Generation Rate</t>
        </r>
        <r>
          <rPr>
            <sz val="9"/>
            <color indexed="81"/>
            <rFont val="Tahoma"/>
            <family val="2"/>
          </rPr>
          <t xml:space="preserve">
MSW includes household, commercial, institutional and public solid waste. This value should be determined by applying waste characterisation studies within the study area as discussed in the user manual.</t>
        </r>
      </text>
    </comment>
    <comment ref="B14" authorId="0" shapeId="0" xr:uid="{00000000-0006-0000-0300-000005000000}">
      <text>
        <r>
          <rPr>
            <b/>
            <sz val="9"/>
            <color indexed="81"/>
            <rFont val="Tahoma"/>
            <family val="2"/>
          </rPr>
          <t>MSW Composition</t>
        </r>
        <r>
          <rPr>
            <sz val="9"/>
            <color indexed="81"/>
            <rFont val="Tahoma"/>
            <family val="2"/>
          </rPr>
          <t xml:space="preserve">
The MSW composition should be determined using waste characterisation studies where possible. The WFD categorises waste into 6 broad types as defined in the user manual. </t>
        </r>
      </text>
    </comment>
    <comment ref="E21" authorId="0" shapeId="0" xr:uid="{00000000-0006-0000-0300-000006000000}">
      <text>
        <r>
          <rPr>
            <sz val="9"/>
            <color indexed="81"/>
            <rFont val="Tahoma"/>
            <family val="2"/>
          </rPr>
          <t>The baseline values shown here relate to those input on the "Baseline data entry" sheet and provide reference for input of scenarios.</t>
        </r>
      </text>
    </comment>
    <comment ref="J22" authorId="0" shapeId="0" xr:uid="{00000000-0006-0000-0300-000007000000}">
      <text>
        <r>
          <rPr>
            <sz val="9"/>
            <color indexed="81"/>
            <rFont val="Tahoma"/>
            <family val="2"/>
          </rPr>
          <t>Please populate the metadata fields with any useful information or explanations that relate to the data entry value.</t>
        </r>
      </text>
    </comment>
    <comment ref="B23" authorId="0" shapeId="0" xr:uid="{00000000-0006-0000-0300-000008000000}">
      <text>
        <r>
          <rPr>
            <b/>
            <sz val="9"/>
            <color indexed="81"/>
            <rFont val="Tahoma"/>
            <family val="2"/>
          </rPr>
          <t>Collection Coverage</t>
        </r>
        <r>
          <rPr>
            <sz val="9"/>
            <color indexed="81"/>
            <rFont val="Tahoma"/>
            <family val="2"/>
          </rPr>
          <t xml:space="preserve">
Collection coverage includes both the area serviced by waste collection, and the collection efficiency of this service. It can therefore be defined as the percentage of waste collected with intention for treatment or disposal in disposal sites.</t>
        </r>
      </text>
    </comment>
    <comment ref="B24" authorId="0" shapeId="0" xr:uid="{00000000-0006-0000-0300-000009000000}">
      <text>
        <r>
          <rPr>
            <b/>
            <sz val="9"/>
            <color indexed="81"/>
            <rFont val="Tahoma"/>
            <family val="2"/>
          </rPr>
          <t>Informal Value-Chain</t>
        </r>
        <r>
          <rPr>
            <sz val="9"/>
            <color indexed="81"/>
            <rFont val="Tahoma"/>
            <family val="2"/>
          </rPr>
          <t xml:space="preserve">
Collection of waste by the informal sector relates to the value-chain (i.e. waste picking) activities only. This is where material is collected based on its resale value.
</t>
        </r>
        <r>
          <rPr>
            <b/>
            <sz val="9"/>
            <color indexed="81"/>
            <rFont val="Tahoma"/>
            <family val="2"/>
          </rPr>
          <t>Recovery</t>
        </r>
        <r>
          <rPr>
            <sz val="9"/>
            <color indexed="81"/>
            <rFont val="Tahoma"/>
            <family val="2"/>
          </rPr>
          <t xml:space="preserve">
Recovery here is defined as all biological and mechanical recycling, and biological and mechanical reovery options, expect energy from waste which is considered separately. Further details are given in the user manual.</t>
        </r>
      </text>
    </comment>
    <comment ref="B30" authorId="0" shapeId="0" xr:uid="{00000000-0006-0000-0300-00000A000000}">
      <text>
        <r>
          <rPr>
            <b/>
            <sz val="9"/>
            <color indexed="81"/>
            <rFont val="Tahoma"/>
            <family val="2"/>
          </rPr>
          <t xml:space="preserve">Energy from Waste (EfW)
</t>
        </r>
        <r>
          <rPr>
            <sz val="9"/>
            <color indexed="81"/>
            <rFont val="Tahoma"/>
            <family val="2"/>
          </rPr>
          <t>Includes incineration and advanced thermal treatments (gasification, pyrolysis, biogas etc.) but excludes the open burning of waste and the burning of waste as a fuel by residents.</t>
        </r>
      </text>
    </comment>
    <comment ref="B36" authorId="0" shapeId="0" xr:uid="{00000000-0006-0000-0300-00000B000000}">
      <text>
        <r>
          <rPr>
            <b/>
            <sz val="9"/>
            <color indexed="81"/>
            <rFont val="Tahoma"/>
            <family val="2"/>
          </rPr>
          <t>Sorting for recovery</t>
        </r>
        <r>
          <rPr>
            <sz val="9"/>
            <color indexed="81"/>
            <rFont val="Tahoma"/>
            <family val="2"/>
          </rPr>
          <t xml:space="preserve">
Waste is considered sorted for recovery after the first sorting stage. Although further sorting is likely at subsequent stages in the reprocessing, these are deemed out of scope
Recovery here is defined as all biological and mechanical recycling, and biological and mechanical reovery options, expect energy from waste which is considered separately. Further details are given in the user manual.</t>
        </r>
      </text>
    </comment>
    <comment ref="B42" authorId="0" shapeId="0" xr:uid="{00000000-0006-0000-0300-00000C000000}">
      <text>
        <r>
          <rPr>
            <b/>
            <sz val="9"/>
            <color indexed="81"/>
            <rFont val="Tahoma"/>
            <family val="2"/>
          </rPr>
          <t>Disposal Facilities</t>
        </r>
        <r>
          <rPr>
            <sz val="9"/>
            <color indexed="81"/>
            <rFont val="Tahoma"/>
            <family val="2"/>
          </rPr>
          <t xml:space="preserve">
Disposal facilities refer to disposal sites which are regularly (i.e. daily) used by the public authorities and private collectors, regardless of their level of control and legality. Such sites may or may not have an official recognition (license).  Also, they may be managed in either a controlled or uncontrolled manner. 
Disposal sites in this assessment exclude other unrecognized grounds by the public authorities which accommodate minor amounts occasionally. Public authorities may organise clean ups to remove the waste from these disposal sites. Amounts diverted to such sites categorise as uncollected waste for the purpose of this assessment.</t>
        </r>
      </text>
    </comment>
    <comment ref="B48" authorId="0" shapeId="0" xr:uid="{00000000-0006-0000-0300-00000D000000}">
      <text>
        <r>
          <rPr>
            <b/>
            <sz val="9"/>
            <color indexed="81"/>
            <rFont val="Tahoma"/>
            <family val="2"/>
          </rPr>
          <t>Informal Service Chain</t>
        </r>
        <r>
          <rPr>
            <sz val="9"/>
            <color indexed="81"/>
            <rFont val="Tahoma"/>
            <family val="2"/>
          </rPr>
          <t xml:space="preserve">
The informal service chain is defined as the section of the informal sector which collect mixed waste from households as a service. This typically is financed via charging households a fee for collection but this may also be supplemented by separating recyclables from the mixed waste for sale.</t>
        </r>
      </text>
    </comment>
    <comment ref="E62" authorId="0" shapeId="0" xr:uid="{00000000-0006-0000-0300-00000E000000}">
      <text>
        <r>
          <rPr>
            <sz val="9"/>
            <color indexed="81"/>
            <rFont val="Tahoma"/>
            <family val="2"/>
          </rPr>
          <t>The baseline values shown here relate to those input on the "Baseline data entry" sheet and provide reference for input of scenarios.</t>
        </r>
      </text>
    </comment>
    <comment ref="J63" authorId="0" shapeId="0" xr:uid="{00000000-0006-0000-0300-00000F000000}">
      <text>
        <r>
          <rPr>
            <sz val="9"/>
            <color indexed="81"/>
            <rFont val="Tahoma"/>
            <family val="2"/>
          </rPr>
          <t>Please populate the metadata fields with any useful information or explanations that relate to the data entry value.</t>
        </r>
      </text>
    </comment>
    <comment ref="B64" authorId="0" shapeId="0" xr:uid="{00000000-0006-0000-0300-000010000000}">
      <text>
        <r>
          <rPr>
            <b/>
            <sz val="9"/>
            <color indexed="81"/>
            <rFont val="Tahoma"/>
            <family val="2"/>
          </rPr>
          <t>Managed in controlled facilties</t>
        </r>
        <r>
          <rPr>
            <sz val="9"/>
            <color indexed="81"/>
            <rFont val="Tahoma"/>
            <family val="2"/>
          </rPr>
          <t xml:space="preserve">
The “proportion of waste managed in controlled facilities” relates to the SDG11.6.1 sub-indicator. Although this sub-indicator is for the total of all recovery and disposal facilities, here these are separated into categories for easier assignment.</t>
        </r>
      </text>
    </comment>
    <comment ref="E67" authorId="0" shapeId="0" xr:uid="{00000000-0006-0000-0300-000011000000}">
      <text>
        <r>
          <rPr>
            <sz val="9"/>
            <color indexed="81"/>
            <rFont val="Tahoma"/>
            <family val="2"/>
          </rPr>
          <t>The baseline values shown here relate to those input on the "Baseline data entry" sheet and provide reference for input of scenarios.</t>
        </r>
      </text>
    </comment>
    <comment ref="J68" authorId="0" shapeId="0" xr:uid="{00000000-0006-0000-0300-000012000000}">
      <text>
        <r>
          <rPr>
            <sz val="9"/>
            <color indexed="81"/>
            <rFont val="Tahoma"/>
            <family val="2"/>
          </rPr>
          <t>Please populate the metadata fields with any useful information or explanations that relate to the data entry value.</t>
        </r>
      </text>
    </comment>
    <comment ref="E90" authorId="0" shapeId="0" xr:uid="{00000000-0006-0000-0300-000013000000}">
      <text>
        <r>
          <rPr>
            <sz val="9"/>
            <color indexed="81"/>
            <rFont val="Tahoma"/>
            <family val="2"/>
          </rPr>
          <t>The baseline values shown here relate to those input on the "Baseline data entry" sheet and provide reference for input of scenarios.</t>
        </r>
      </text>
    </comment>
    <comment ref="J91" authorId="0" shapeId="0" xr:uid="{00000000-0006-0000-0300-000014000000}">
      <text>
        <r>
          <rPr>
            <sz val="9"/>
            <color indexed="81"/>
            <rFont val="Tahoma"/>
            <family val="2"/>
          </rPr>
          <t>Please populate the metadata fields with any useful information or explanations that relate to the data entry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Josh Cottom</author>
  </authors>
  <commentList>
    <comment ref="I2" authorId="0" shapeId="0" xr:uid="{00000000-0006-0000-0700-000001000000}">
      <text>
        <r>
          <rPr>
            <b/>
            <sz val="9"/>
            <color indexed="81"/>
            <rFont val="Tahoma"/>
            <family val="2"/>
          </rPr>
          <t>Josh Cottom:</t>
        </r>
        <r>
          <rPr>
            <sz val="9"/>
            <color indexed="81"/>
            <rFont val="Tahoma"/>
            <family val="2"/>
          </rPr>
          <t xml:space="preserve">
Δ = Inputs - Outputs - Stocks</t>
        </r>
      </text>
    </comment>
    <comment ref="I11" authorId="0" shapeId="0" xr:uid="{00000000-0006-0000-0700-000002000000}">
      <text>
        <r>
          <rPr>
            <b/>
            <sz val="9"/>
            <color indexed="81"/>
            <rFont val="Tahoma"/>
            <family val="2"/>
          </rPr>
          <t>Josh Cottom:</t>
        </r>
        <r>
          <rPr>
            <sz val="9"/>
            <color indexed="81"/>
            <rFont val="Tahoma"/>
            <family val="2"/>
          </rPr>
          <t xml:space="preserve">
0 = FALSE
1 = TRUE</t>
        </r>
      </text>
    </comment>
    <comment ref="I20" authorId="0" shapeId="0" xr:uid="{00000000-0006-0000-0700-000003000000}">
      <text>
        <r>
          <rPr>
            <b/>
            <sz val="9"/>
            <color indexed="81"/>
            <rFont val="Tahoma"/>
            <family val="2"/>
          </rPr>
          <t>Josh Cottom:</t>
        </r>
        <r>
          <rPr>
            <sz val="9"/>
            <color indexed="81"/>
            <rFont val="Tahoma"/>
            <family val="2"/>
          </rPr>
          <t xml:space="preserve">
Δ = Inputs - Outputs - Stocks</t>
        </r>
      </text>
    </comment>
    <comment ref="I29" authorId="0" shapeId="0" xr:uid="{00000000-0006-0000-0700-000004000000}">
      <text>
        <r>
          <rPr>
            <b/>
            <sz val="9"/>
            <color indexed="81"/>
            <rFont val="Tahoma"/>
            <family val="2"/>
          </rPr>
          <t>Josh Cottom:</t>
        </r>
        <r>
          <rPr>
            <sz val="9"/>
            <color indexed="81"/>
            <rFont val="Tahoma"/>
            <family val="2"/>
          </rPr>
          <t xml:space="preserve">
Δ = Inputs - Outputs - Stocks</t>
        </r>
      </text>
    </comment>
    <comment ref="I38" authorId="0" shapeId="0" xr:uid="{00000000-0006-0000-0700-000005000000}">
      <text>
        <r>
          <rPr>
            <b/>
            <sz val="9"/>
            <color indexed="81"/>
            <rFont val="Tahoma"/>
            <family val="2"/>
          </rPr>
          <t>Josh Cottom:</t>
        </r>
        <r>
          <rPr>
            <sz val="9"/>
            <color indexed="81"/>
            <rFont val="Tahoma"/>
            <family val="2"/>
          </rPr>
          <t xml:space="preserve">
Δ = Inputs - Outputs - Stocks</t>
        </r>
      </text>
    </comment>
    <comment ref="I47" authorId="0" shapeId="0" xr:uid="{00000000-0006-0000-0700-000006000000}">
      <text>
        <r>
          <rPr>
            <b/>
            <sz val="9"/>
            <color indexed="81"/>
            <rFont val="Tahoma"/>
            <family val="2"/>
          </rPr>
          <t>Josh Cottom:</t>
        </r>
        <r>
          <rPr>
            <sz val="9"/>
            <color indexed="81"/>
            <rFont val="Tahoma"/>
            <family val="2"/>
          </rPr>
          <t xml:space="preserve">
Δ = Inputs - Outputs - Stocks</t>
        </r>
      </text>
    </comment>
    <comment ref="I56" authorId="0" shapeId="0" xr:uid="{00000000-0006-0000-0700-000007000000}">
      <text>
        <r>
          <rPr>
            <b/>
            <sz val="9"/>
            <color indexed="81"/>
            <rFont val="Tahoma"/>
            <family val="2"/>
          </rPr>
          <t>Josh Cottom:</t>
        </r>
        <r>
          <rPr>
            <sz val="9"/>
            <color indexed="81"/>
            <rFont val="Tahoma"/>
            <family val="2"/>
          </rPr>
          <t xml:space="preserve">
Δ = Inputs - Outputs - Stocks</t>
        </r>
      </text>
    </comment>
    <comment ref="I65" authorId="0" shapeId="0" xr:uid="{00000000-0006-0000-0700-000008000000}">
      <text>
        <r>
          <rPr>
            <b/>
            <sz val="9"/>
            <color indexed="81"/>
            <rFont val="Tahoma"/>
            <family val="2"/>
          </rPr>
          <t>Josh Cottom:</t>
        </r>
        <r>
          <rPr>
            <sz val="9"/>
            <color indexed="81"/>
            <rFont val="Tahoma"/>
            <family val="2"/>
          </rPr>
          <t xml:space="preserve">
Δ = Inputs - Outputs - Stocks</t>
        </r>
      </text>
    </comment>
  </commentList>
</comments>
</file>

<file path=xl/sharedStrings.xml><?xml version="1.0" encoding="utf-8"?>
<sst xmlns="http://schemas.openxmlformats.org/spreadsheetml/2006/main" count="2759" uniqueCount="758">
  <si>
    <t>Waste Flow Diagram Assessment Tool - Baseline Data Entry</t>
  </si>
  <si>
    <t>Key</t>
  </si>
  <si>
    <t>Input cell</t>
  </si>
  <si>
    <t>Error cell</t>
  </si>
  <si>
    <t xml:space="preserve">Check cell </t>
  </si>
  <si>
    <t xml:space="preserve"> ⓘ = hover for more info.</t>
  </si>
  <si>
    <t>NOTE: All percentage units are in terms of weight %</t>
  </si>
  <si>
    <t>Click the ⓘ symbols for more information and definitions</t>
  </si>
  <si>
    <t>1. Waste generation information</t>
  </si>
  <si>
    <t>Baseline</t>
  </si>
  <si>
    <t>Data Reliability ⓘ</t>
  </si>
  <si>
    <t>No.</t>
  </si>
  <si>
    <t>Item</t>
  </si>
  <si>
    <t>Description</t>
  </si>
  <si>
    <t>Unit</t>
  </si>
  <si>
    <t>Value</t>
  </si>
  <si>
    <t>Information ⓘ</t>
  </si>
  <si>
    <t>Metadata ⓘ</t>
  </si>
  <si>
    <t>Population ⓘ</t>
  </si>
  <si>
    <t>How many people live in the area (city, urban district, region) you want to model?</t>
  </si>
  <si>
    <t>Persons</t>
  </si>
  <si>
    <t>Please use an estimate based on the last census or other official data.</t>
  </si>
  <si>
    <t>Medium</t>
  </si>
  <si>
    <t>Municipal solid waste generation per capita ⓘ</t>
  </si>
  <si>
    <t>How much municipal solid waste per person is produced per day ?</t>
  </si>
  <si>
    <t>Kg/capita/day</t>
  </si>
  <si>
    <t>High</t>
  </si>
  <si>
    <t xml:space="preserve"> </t>
  </si>
  <si>
    <t>Municipal solid waste composition ⓘ</t>
  </si>
  <si>
    <t>Paper</t>
  </si>
  <si>
    <t>Weight-%</t>
  </si>
  <si>
    <r>
      <t xml:space="preserve">In the absence of waste characterisation data, default values by income level may be used:
</t>
    </r>
    <r>
      <rPr>
        <b/>
        <sz val="10"/>
        <rFont val="Calibri"/>
        <family val="2"/>
        <scheme val="minor"/>
      </rPr>
      <t>High Income:</t>
    </r>
    <r>
      <rPr>
        <sz val="10"/>
        <rFont val="Calibri"/>
        <family val="2"/>
        <scheme val="minor"/>
      </rPr>
      <t xml:space="preserve"> Paper = 24%, Plastics = 11%, Glass = 6%, Metals = 5%, Other = 20%, Organic = 34% 
</t>
    </r>
    <r>
      <rPr>
        <b/>
        <sz val="10"/>
        <rFont val="Calibri"/>
        <family val="2"/>
        <scheme val="minor"/>
      </rPr>
      <t>Upper Middle Income:</t>
    </r>
    <r>
      <rPr>
        <sz val="10"/>
        <rFont val="Calibri"/>
        <family val="2"/>
        <scheme val="minor"/>
      </rPr>
      <t xml:space="preserve"> Paper = 19%, Plastics = 12%, Glass = 5%, Metals = 4%, Other = 14%, Organic = 46% 
</t>
    </r>
    <r>
      <rPr>
        <b/>
        <sz val="10"/>
        <rFont val="Calibri"/>
        <family val="2"/>
        <scheme val="minor"/>
      </rPr>
      <t>Lower Middle Income:</t>
    </r>
    <r>
      <rPr>
        <sz val="10"/>
        <rFont val="Calibri"/>
        <family val="2"/>
        <scheme val="minor"/>
      </rPr>
      <t xml:space="preserve"> Paper = 11%, Plastics = 9%, Glass = 3%, Metals = 3%, Other = 21%, Organic = 53% 
</t>
    </r>
    <r>
      <rPr>
        <b/>
        <sz val="10"/>
        <rFont val="Calibri"/>
        <family val="2"/>
        <scheme val="minor"/>
      </rPr>
      <t>Low Income:</t>
    </r>
    <r>
      <rPr>
        <sz val="10"/>
        <rFont val="Calibri"/>
        <family val="2"/>
        <scheme val="minor"/>
      </rPr>
      <t xml:space="preserve"> Paper = 6%, Plastics = 7%, Glass = 2%, Metals = 2%, Other = 30%, Organic = 53% 
(Source: UNEP, 2015. </t>
    </r>
    <r>
      <rPr>
        <i/>
        <sz val="10"/>
        <rFont val="Calibri"/>
        <family val="2"/>
        <scheme val="minor"/>
      </rPr>
      <t>Global Waste Management Outlook</t>
    </r>
    <r>
      <rPr>
        <sz val="10"/>
        <rFont val="Calibri"/>
        <family val="2"/>
        <scheme val="minor"/>
      </rPr>
      <t>)</t>
    </r>
  </si>
  <si>
    <t>Plastics</t>
  </si>
  <si>
    <t>Glass</t>
  </si>
  <si>
    <t>Metals</t>
  </si>
  <si>
    <t>Other</t>
  </si>
  <si>
    <t>Organic</t>
  </si>
  <si>
    <t>-</t>
  </si>
  <si>
    <t>Total</t>
  </si>
  <si>
    <t>%</t>
  </si>
  <si>
    <t>Must be = 100%</t>
  </si>
  <si>
    <t>2. Waste treatment and disposal</t>
  </si>
  <si>
    <t>Tonnes/day</t>
  </si>
  <si>
    <t>The methodology behind measuring the amount and composition of waste sent to energy recovery is outlined within the user manual.</t>
  </si>
  <si>
    <t>Low</t>
  </si>
  <si>
    <t>Informal service chain collection Ⓘ</t>
  </si>
  <si>
    <t>NA</t>
  </si>
  <si>
    <t>Yes</t>
  </si>
  <si>
    <t>% of waste collected by collection services</t>
  </si>
  <si>
    <t>Estimated total collection of waste by material
Actual value may increase to account for leaked waste</t>
  </si>
  <si>
    <t>% of total waste generation by material</t>
  </si>
  <si>
    <t>Must be ≤ 100%</t>
  </si>
  <si>
    <t>Estimated total formal and informal collection of waste</t>
  </si>
  <si>
    <t>% of total waste generation</t>
  </si>
  <si>
    <r>
      <t xml:space="preserve">Must be </t>
    </r>
    <r>
      <rPr>
        <b/>
        <sz val="10"/>
        <color rgb="FF7F7F7F"/>
        <rFont val="Arial"/>
        <family val="2"/>
      </rPr>
      <t>≥</t>
    </r>
    <r>
      <rPr>
        <b/>
        <sz val="10"/>
        <color rgb="FF7F7F7F"/>
        <rFont val="Calibri"/>
        <family val="2"/>
        <scheme val="minor"/>
      </rPr>
      <t>0% and ≤ 100%</t>
    </r>
  </si>
  <si>
    <t>Estimated total uncollected waste</t>
  </si>
  <si>
    <t>Must be ≥0% and ≤ 100%</t>
  </si>
  <si>
    <t>Managed in controlled facilities Ⓘ</t>
  </si>
  <si>
    <t>% of disposed waste</t>
  </si>
  <si>
    <t>Leakge Influencers</t>
  </si>
  <si>
    <t>Plastic waste leakage from collection services</t>
  </si>
  <si>
    <t>Collection containers</t>
  </si>
  <si>
    <t>Very high</t>
  </si>
  <si>
    <t>Loading method</t>
  </si>
  <si>
    <t>Primary transportation</t>
  </si>
  <si>
    <t>Multiple handling / waste transfer</t>
  </si>
  <si>
    <t>Plastic waste leakage during informal value-chain  collection</t>
  </si>
  <si>
    <t>Transportation method</t>
  </si>
  <si>
    <t>Plastic waste leakage during formal sorting</t>
  </si>
  <si>
    <t>Formal treatment plastic reject rate</t>
  </si>
  <si>
    <t>% of formally collected plastic</t>
  </si>
  <si>
    <t>Please refer to the "Leakage from formal sorting" leakage decision tree within the user manual to allocate a value based on the descriptions given.</t>
  </si>
  <si>
    <t>Informal treatment plastic reject rate</t>
  </si>
  <si>
    <t>% of informally collected plastic</t>
  </si>
  <si>
    <t>Capacity vs load</t>
  </si>
  <si>
    <t>Waste containment</t>
  </si>
  <si>
    <t>Vehicle cover</t>
  </si>
  <si>
    <t>Environmental hazards</t>
  </si>
  <si>
    <t>Exposure to weather</t>
  </si>
  <si>
    <t>Waste handling</t>
  </si>
  <si>
    <t>Coverage</t>
  </si>
  <si>
    <t>Burning</t>
  </si>
  <si>
    <t>Fencing</t>
  </si>
  <si>
    <t>Frequency of rainfall / storm events</t>
  </si>
  <si>
    <t>Drain clean-up</t>
  </si>
  <si>
    <t>Normalised Fate (%) ⓘ</t>
  </si>
  <si>
    <t>Fate of uncollected plastic waste</t>
  </si>
  <si>
    <t>Level of plastic openly burnt</t>
  </si>
  <si>
    <t>Level of direct dumping on land</t>
  </si>
  <si>
    <t>Level of direct dumping in drains</t>
  </si>
  <si>
    <t>Fate of plastic waste leaked during collection and transportation</t>
  </si>
  <si>
    <t>Level of plastic to land</t>
  </si>
  <si>
    <t>Very low</t>
  </si>
  <si>
    <t>Level of plastic to drains</t>
  </si>
  <si>
    <t>None</t>
  </si>
  <si>
    <t>Fate of plastic waste leaked from formal sorting</t>
  </si>
  <si>
    <t>Fate of plastic waste leaked from informal sorting</t>
  </si>
  <si>
    <t>Waste Flow Diagram Assessment Tool - Scenario Data Entry</t>
  </si>
  <si>
    <t>Baseline ⓘ</t>
  </si>
  <si>
    <t>Scenario 1</t>
  </si>
  <si>
    <t>Scenario 2</t>
  </si>
  <si>
    <t>Scenario 3</t>
  </si>
  <si>
    <t>Notes</t>
  </si>
  <si>
    <t>Please use an estimate based on the last census or other official data and consider population growth rates for scenarios.</t>
  </si>
  <si>
    <r>
      <t xml:space="preserve">In the absence of waste characterisation data, default values by income level may be used:
</t>
    </r>
    <r>
      <rPr>
        <b/>
        <sz val="10"/>
        <rFont val="Calibri"/>
        <family val="2"/>
        <scheme val="minor"/>
      </rPr>
      <t xml:space="preserve">
High Income:</t>
    </r>
    <r>
      <rPr>
        <sz val="10"/>
        <rFont val="Calibri"/>
        <family val="2"/>
        <scheme val="minor"/>
      </rPr>
      <t xml:space="preserve"> Paper = 24%, Plastics = 11%, Glass = 6%, Metals = 5%, Other = 20%, Organic = 34% 
</t>
    </r>
    <r>
      <rPr>
        <b/>
        <sz val="10"/>
        <rFont val="Calibri"/>
        <family val="2"/>
        <scheme val="minor"/>
      </rPr>
      <t>Upper Middle Income:</t>
    </r>
    <r>
      <rPr>
        <sz val="10"/>
        <rFont val="Calibri"/>
        <family val="2"/>
        <scheme val="minor"/>
      </rPr>
      <t xml:space="preserve"> Paper = 19%, Plastics = 12%, Glass = 5%, Metals = 4%, Other = 14%, Organic = 46% 
</t>
    </r>
    <r>
      <rPr>
        <b/>
        <sz val="10"/>
        <rFont val="Calibri"/>
        <family val="2"/>
        <scheme val="minor"/>
      </rPr>
      <t>Lower Middle Income:</t>
    </r>
    <r>
      <rPr>
        <sz val="10"/>
        <rFont val="Calibri"/>
        <family val="2"/>
        <scheme val="minor"/>
      </rPr>
      <t xml:space="preserve"> Paper = 11%, Plastics = 9%, Glass = 3%, Metals = 3%, Other = 21%, Organic = 53% 
</t>
    </r>
    <r>
      <rPr>
        <b/>
        <sz val="10"/>
        <rFont val="Calibri"/>
        <family val="2"/>
        <scheme val="minor"/>
      </rPr>
      <t xml:space="preserve">Low Income: </t>
    </r>
    <r>
      <rPr>
        <sz val="10"/>
        <rFont val="Calibri"/>
        <family val="2"/>
        <scheme val="minor"/>
      </rPr>
      <t>Paper = 6%, Plastics = 7%, Glass = 2%, Metals = 2%, Other = 30%, Organic = 53% 
(Source: UNEP, 2015. Global Waste Management Outlook)</t>
    </r>
  </si>
  <si>
    <t>2. Waste collection, treatment and disposal</t>
  </si>
  <si>
    <t>What is the collection service coverage? Ⓘ</t>
  </si>
  <si>
    <t>All MSW</t>
  </si>
  <si>
    <t>% of waste generated</t>
  </si>
  <si>
    <t>This includes only waste collected by the formal sector, or collected by informal collection services if they transfer it later to the formal system.</t>
  </si>
  <si>
    <t>This includes only waste collected by the informal value-chain sector. This is due to informal service-chain collectors being included within the formal collection coverage as discussed above.</t>
  </si>
  <si>
    <t>Includes incineration and advanced thermal treatments (gasification, pyrolysis etc.) but excludes the open burning of waste and the burning of waste as a fuel by residents.</t>
  </si>
  <si>
    <t>As the unit for this input is "% of waste collected by collection services", this excludes waste collected by the informal value chain. If assigning a value for this is difficult to obtain due to the integration of the formal and informal sorting, use the baseline value as an indicator.</t>
  </si>
  <si>
    <t>% of formally collected waste</t>
  </si>
  <si>
    <t>Estimated total collection of waste by material 
(both formal and informal sector)</t>
  </si>
  <si>
    <t>Please refer to the user manual for instructions on what is to be counted as "managed in controlled facilities".</t>
  </si>
  <si>
    <t>Flow ID</t>
  </si>
  <si>
    <t>Flow Name and material</t>
  </si>
  <si>
    <t>Baseline data reliability score</t>
  </si>
  <si>
    <t>Error Checks</t>
  </si>
  <si>
    <t>Calculation of leakage percents for plastic waste</t>
  </si>
  <si>
    <t>System mass balance</t>
  </si>
  <si>
    <t>F17</t>
  </si>
  <si>
    <t>Material</t>
  </si>
  <si>
    <t>Totals</t>
  </si>
  <si>
    <t>F16</t>
  </si>
  <si>
    <r>
      <t xml:space="preserve">Any flows </t>
    </r>
    <r>
      <rPr>
        <b/>
        <sz val="10"/>
        <color theme="1"/>
        <rFont val="Arial"/>
        <family val="2"/>
      </rPr>
      <t xml:space="preserve">≤ </t>
    </r>
    <r>
      <rPr>
        <b/>
        <sz val="10"/>
        <color theme="1"/>
        <rFont val="Calibri"/>
        <family val="2"/>
      </rPr>
      <t>0</t>
    </r>
  </si>
  <si>
    <t>F15</t>
  </si>
  <si>
    <t>Generation process mass balance</t>
  </si>
  <si>
    <t>Collection process mass balance</t>
  </si>
  <si>
    <t>F14</t>
  </si>
  <si>
    <t>Treatment process mass balance</t>
  </si>
  <si>
    <t>Plastic leakage from formal sorting (voluntary)</t>
  </si>
  <si>
    <t>Transport process mass balance</t>
  </si>
  <si>
    <t>F13</t>
  </si>
  <si>
    <t>Plastic leakage from informal value-chain collection</t>
  </si>
  <si>
    <t>Disposal process mass balance</t>
  </si>
  <si>
    <t>F12</t>
  </si>
  <si>
    <t>Plastic leakage from collection services</t>
  </si>
  <si>
    <t>Plastic only processes</t>
  </si>
  <si>
    <t>Process</t>
  </si>
  <si>
    <t>Calculation of disposal quantities</t>
  </si>
  <si>
    <t>F11</t>
  </si>
  <si>
    <t>Tonnes/year</t>
  </si>
  <si>
    <t>Drains</t>
  </si>
  <si>
    <t>Water</t>
  </si>
  <si>
    <t>Disposal Stock</t>
  </si>
  <si>
    <t>Calculation of transported quantities</t>
  </si>
  <si>
    <t>F7</t>
  </si>
  <si>
    <t>Calculation of treatment quantities</t>
  </si>
  <si>
    <t>F10</t>
  </si>
  <si>
    <t>Energy from waste</t>
  </si>
  <si>
    <t>Energy from waste managed in controlled facilities</t>
  </si>
  <si>
    <t>F9</t>
  </si>
  <si>
    <t>F8</t>
  </si>
  <si>
    <t>F6</t>
  </si>
  <si>
    <t>F5</t>
  </si>
  <si>
    <t>Plastic waste leaking from formal sorting (voluntary)</t>
  </si>
  <si>
    <t>Calculation of collected quantities</t>
  </si>
  <si>
    <t>F2</t>
  </si>
  <si>
    <t>Waste captured by collection services</t>
  </si>
  <si>
    <t>F3</t>
  </si>
  <si>
    <t>Calculation of generated waste</t>
  </si>
  <si>
    <t>F1</t>
  </si>
  <si>
    <t>Calculation of uncollected waste</t>
  </si>
  <si>
    <t>F4</t>
  </si>
  <si>
    <t>Uncollected waste</t>
  </si>
  <si>
    <t>Calculation of fates of leaked plastic waste</t>
  </si>
  <si>
    <t>Uncollected waste - Diffuse voluntary</t>
  </si>
  <si>
    <t>Burnt</t>
  </si>
  <si>
    <t>Land</t>
  </si>
  <si>
    <t>Diffuse involuntary</t>
  </si>
  <si>
    <t>Point source voluntary - Formal treatment</t>
  </si>
  <si>
    <t>Point source voluntary - Informal treatment</t>
  </si>
  <si>
    <t>Point source involuntary - Disposal</t>
  </si>
  <si>
    <t>Calculation of drains retention</t>
  </si>
  <si>
    <t>Plastic waste in drains</t>
  </si>
  <si>
    <t>F19</t>
  </si>
  <si>
    <t>Drains Stock</t>
  </si>
  <si>
    <t>F20</t>
  </si>
  <si>
    <t>F18</t>
  </si>
  <si>
    <t>Summation of plastic fates</t>
  </si>
  <si>
    <t>F22</t>
  </si>
  <si>
    <t>Water Stock</t>
  </si>
  <si>
    <t>To water</t>
  </si>
  <si>
    <t>F21</t>
  </si>
  <si>
    <t>Retained on land</t>
  </si>
  <si>
    <t>Select which results to show:</t>
  </si>
  <si>
    <t>Jump to:</t>
  </si>
  <si>
    <t>Scenario:</t>
  </si>
  <si>
    <t>1. Waste Flow Diagram</t>
  </si>
  <si>
    <t>Material:</t>
  </si>
  <si>
    <t>2. Sankey Diagram</t>
  </si>
  <si>
    <t>1.</t>
  </si>
  <si>
    <t>Waste Flow Diagram</t>
  </si>
  <si>
    <t>Waste management system</t>
  </si>
  <si>
    <t>Environment</t>
  </si>
  <si>
    <t>Applies to either "all MSW" or "plastic only" depending on selection</t>
  </si>
  <si>
    <t>Applies to plastic only</t>
  </si>
  <si>
    <t>Generation</t>
  </si>
  <si>
    <t>Collection</t>
  </si>
  <si>
    <t>Low reliability</t>
  </si>
  <si>
    <t>Preparation for recovery (pre-treatment)</t>
  </si>
  <si>
    <t>Medium reliability</t>
  </si>
  <si>
    <t>High reliability</t>
  </si>
  <si>
    <t>Mass balanced</t>
  </si>
  <si>
    <t>Mass unbalanced</t>
  </si>
  <si>
    <t>Error Checks (applies to all waste)</t>
  </si>
  <si>
    <t>Inputs = Outputs + Stocks</t>
  </si>
  <si>
    <t>All masses positive</t>
  </si>
  <si>
    <t>All processes balanced</t>
  </si>
  <si>
    <t>Transport</t>
  </si>
  <si>
    <t>Stock excluding plastic:</t>
  </si>
  <si>
    <t>Storm drains</t>
  </si>
  <si>
    <t>Retained on land*</t>
  </si>
  <si>
    <t>Water systems</t>
  </si>
  <si>
    <t>* Retained on land includes plastic which is subsequently collected by street sweepings</t>
  </si>
  <si>
    <t>2.</t>
  </si>
  <si>
    <t>Sankey Diagram</t>
  </si>
  <si>
    <r>
      <t xml:space="preserve">Basic Sankey Diagram
</t>
    </r>
    <r>
      <rPr>
        <b/>
        <sz val="12"/>
        <color theme="1"/>
        <rFont val="Calibri"/>
        <family val="2"/>
        <scheme val="minor"/>
      </rPr>
      <t>(excludes visualisation of leakages)</t>
    </r>
  </si>
  <si>
    <r>
      <t xml:space="preserve">Complex Sankey Diagram
</t>
    </r>
    <r>
      <rPr>
        <b/>
        <sz val="12"/>
        <color theme="1"/>
        <rFont val="Calibri"/>
        <family val="2"/>
        <scheme val="minor"/>
      </rPr>
      <t>(Includes visualisation of leakages)</t>
    </r>
  </si>
  <si>
    <t>Instructions for plotting the results in a sankey diagram</t>
  </si>
  <si>
    <r>
      <rPr>
        <b/>
        <sz val="11"/>
        <rFont val="Calibri"/>
        <family val="2"/>
      </rPr>
      <t xml:space="preserve">1) </t>
    </r>
    <r>
      <rPr>
        <sz val="11"/>
        <rFont val="Calibri"/>
        <family val="2"/>
      </rPr>
      <t>Select which scenario and material you would like to plot by changing the drop down menu at the top left of this page.</t>
    </r>
  </si>
  <si>
    <r>
      <rPr>
        <b/>
        <sz val="11"/>
        <rFont val="Calibri"/>
        <family val="2"/>
      </rPr>
      <t>2)</t>
    </r>
    <r>
      <rPr>
        <sz val="11"/>
        <rFont val="Calibri"/>
        <family val="2"/>
      </rPr>
      <t xml:space="preserve"> Decide which sankeydiagram you wish to plot (see examples below).
</t>
    </r>
  </si>
  <si>
    <r>
      <rPr>
        <b/>
        <sz val="11"/>
        <rFont val="Calibri"/>
        <family val="2"/>
      </rPr>
      <t>3)</t>
    </r>
    <r>
      <rPr>
        <sz val="11"/>
        <rFont val="Calibri"/>
        <family val="2"/>
      </rPr>
      <t xml:space="preserve"> Select the grey box with code and copy (ctrl + C)
</t>
    </r>
  </si>
  <si>
    <r>
      <rPr>
        <b/>
        <sz val="11"/>
        <rFont val="Calibri"/>
        <family val="2"/>
      </rPr>
      <t xml:space="preserve">4) </t>
    </r>
    <r>
      <rPr>
        <sz val="11"/>
        <rFont val="Calibri"/>
        <family val="2"/>
      </rPr>
      <t>Go to:</t>
    </r>
  </si>
  <si>
    <t>http://SankeyMatic.com/build</t>
  </si>
  <si>
    <r>
      <t xml:space="preserve">5) </t>
    </r>
    <r>
      <rPr>
        <sz val="11"/>
        <rFont val="Calibri"/>
        <family val="2"/>
      </rPr>
      <t>Paste the code into the "Inputs:" box</t>
    </r>
  </si>
  <si>
    <r>
      <rPr>
        <b/>
        <sz val="11"/>
        <rFont val="Calibri"/>
        <family val="2"/>
      </rPr>
      <t>6)</t>
    </r>
    <r>
      <rPr>
        <sz val="11"/>
        <rFont val="Calibri"/>
        <family val="2"/>
      </rPr>
      <t xml:space="preserve"> Delete any quotation marks present at the start and end of the copied code</t>
    </r>
  </si>
  <si>
    <t>Optional formatting to appear as shown in examples</t>
  </si>
  <si>
    <r>
      <rPr>
        <b/>
        <sz val="11"/>
        <rFont val="Calibri"/>
        <family val="2"/>
      </rPr>
      <t>7)</t>
    </r>
    <r>
      <rPr>
        <sz val="11"/>
        <rFont val="Calibri"/>
        <family val="2"/>
      </rPr>
      <t xml:space="preserve"> In the "Size, Spacing and Shape" options, change the diagram width to 800px and node width to 5px.</t>
    </r>
  </si>
  <si>
    <r>
      <rPr>
        <b/>
        <sz val="11"/>
        <rFont val="Calibri"/>
        <family val="2"/>
      </rPr>
      <t>8)</t>
    </r>
    <r>
      <rPr>
        <sz val="11"/>
        <rFont val="Calibri"/>
        <family val="2"/>
      </rPr>
      <t xml:space="preserve"> In the "Colors" options change the "Node Colors" option to "Use a single color" and select the colour as black. Set the "Flow Opacity" to 1.0</t>
    </r>
  </si>
  <si>
    <r>
      <rPr>
        <b/>
        <sz val="12"/>
        <color theme="1"/>
        <rFont val="Calibri"/>
        <family val="2"/>
        <scheme val="minor"/>
      </rPr>
      <t>11)</t>
    </r>
    <r>
      <rPr>
        <sz val="12"/>
        <color theme="1"/>
        <rFont val="Calibri"/>
        <family val="2"/>
        <scheme val="minor"/>
      </rPr>
      <t xml:space="preserve"> Once satisfied, export the image using the "Export Diagram" option box</t>
    </r>
  </si>
  <si>
    <r>
      <rPr>
        <b/>
        <sz val="12"/>
        <color theme="1"/>
        <rFont val="Calibri"/>
        <family val="2"/>
        <scheme val="minor"/>
      </rPr>
      <t>12)</t>
    </r>
    <r>
      <rPr>
        <sz val="12"/>
        <color theme="1"/>
        <rFont val="Calibri"/>
        <family val="2"/>
        <scheme val="minor"/>
      </rPr>
      <t xml:space="preserve"> Open the image in a software of choice (i.e. Microsoft Powerpoint) and add the text labels and quantities.</t>
    </r>
  </si>
  <si>
    <t>Unmanaged waste</t>
  </si>
  <si>
    <t>Transportation</t>
  </si>
  <si>
    <t>Informal collection</t>
  </si>
  <si>
    <t>Waste Flow Diagram - Waste management results summary</t>
  </si>
  <si>
    <t>Plastic waste</t>
  </si>
  <si>
    <t>Municipal Solid Waste</t>
  </si>
  <si>
    <t>Municipal solid waste generation</t>
  </si>
  <si>
    <t>Collected waste</t>
  </si>
  <si>
    <t>% of waste generation</t>
  </si>
  <si>
    <t>Managed in controlled facilities</t>
  </si>
  <si>
    <t>Unmanaged plastic waste</t>
  </si>
  <si>
    <t>% of plastic waste generation</t>
  </si>
  <si>
    <t>Contribution from uncollected waste</t>
  </si>
  <si>
    <t>% of mismanaged plastic waste</t>
  </si>
  <si>
    <t>Plastic waste retained on land</t>
  </si>
  <si>
    <t>Plastic waste openly burnt</t>
  </si>
  <si>
    <t>Contribution entering via storm drains</t>
  </si>
  <si>
    <t>kg per person/year</t>
  </si>
  <si>
    <t>Leakage potentials for calculation of transfer coefficients</t>
  </si>
  <si>
    <t>Fates of leaked waste transfer coefficients</t>
  </si>
  <si>
    <t>Dropdown options</t>
  </si>
  <si>
    <t>Uncertainty factors</t>
  </si>
  <si>
    <t>Result options</t>
  </si>
  <si>
    <t>Name_1</t>
  </si>
  <si>
    <t>ID1</t>
  </si>
  <si>
    <t>Name_2</t>
  </si>
  <si>
    <t>ID2</t>
  </si>
  <si>
    <t>Score</t>
  </si>
  <si>
    <t>ID3</t>
  </si>
  <si>
    <t>Type</t>
  </si>
  <si>
    <t>Source(s)</t>
  </si>
  <si>
    <t>Fate</t>
  </si>
  <si>
    <t>Name</t>
  </si>
  <si>
    <t>Scenario</t>
  </si>
  <si>
    <t>Formal collection</t>
  </si>
  <si>
    <t>Diffuse voluntary</t>
  </si>
  <si>
    <t>Type 1</t>
  </si>
  <si>
    <t>Type 2</t>
  </si>
  <si>
    <t>Primary transportation method</t>
  </si>
  <si>
    <t>Type 3</t>
  </si>
  <si>
    <t>Type 4</t>
  </si>
  <si>
    <t>Type 5</t>
  </si>
  <si>
    <t>Type 6</t>
  </si>
  <si>
    <t>Formal treatment</t>
  </si>
  <si>
    <t>Disaposal of non-recyclables</t>
  </si>
  <si>
    <t>Collection and transportation</t>
  </si>
  <si>
    <t>All</t>
  </si>
  <si>
    <t>Type 7</t>
  </si>
  <si>
    <t>Type 8</t>
  </si>
  <si>
    <t>No</t>
  </si>
  <si>
    <t>Type 9</t>
  </si>
  <si>
    <t>Informal treatment</t>
  </si>
  <si>
    <t>Point source involuntary</t>
  </si>
  <si>
    <t>Disposal</t>
  </si>
  <si>
    <t>Very High</t>
  </si>
  <si>
    <t>Point source voluntary</t>
  </si>
  <si>
    <t>Treatment rejects</t>
  </si>
  <si>
    <t>Frequency of rain</t>
  </si>
  <si>
    <t>Drain cleaning</t>
  </si>
  <si>
    <t>If data is unavailable on the split between the informal and formal collection services, please use the percent of the study area covered by informal collection services compared to the formal sector as a proxy. See the user manual for details.</t>
  </si>
  <si>
    <t>Materials collected by informal value chain</t>
  </si>
  <si>
    <t>Plastic leakage from informal service chain sorting (voluntary)</t>
  </si>
  <si>
    <t>Waste Flow Diagram - Unmanaged plastic waste results summary</t>
  </si>
  <si>
    <t>5. Plastic pollution levels per fate</t>
  </si>
  <si>
    <t>4. Plastic leakage potential levels per leakage influencer</t>
  </si>
  <si>
    <t>3.Managed in controlled facilities</t>
  </si>
  <si>
    <t>Both the formal and informal recycling systems are often integrated with one another, making identification of the contribution of each difficult. The user manual gives details on how to measure the amounts sorted by each sector respectively.
Here we define the formal sector as those registered or licensed by the municipality (i.e. have a contract with the municipality). Alternatively, the informal sector is defined as those unregistered or not licensed by the municipality. Only informal value-chain workers (i.e. not performing collection services) are counted here. This is due to informal collection services which transfer waste to the formal sector being considered under formal activities. Waste collected by informal collection service which do not transfer the waste to the formal sector but instead dump / burn the waste, is likewise considered as uncollected waste.</t>
  </si>
  <si>
    <t>Unmanaged</t>
  </si>
  <si>
    <t>How much MSW is sent to energy from waste? Ⓘ</t>
  </si>
  <si>
    <t>How much MSW is sorted by the formal sector for recovery? Ⓘ</t>
  </si>
  <si>
    <t>How much MSW is sorted by the informal sector for recovery? Ⓘ</t>
  </si>
  <si>
    <t>% of waste sorted for recovery</t>
  </si>
  <si>
    <t>How much of the sorting for recovery is managed in controlled facilities (excludes energy from waste)?</t>
  </si>
  <si>
    <t>How much of the waste sent for energy from waste is managed in controlled facilties?</t>
  </si>
  <si>
    <t>% of waste sent for energy from waste</t>
  </si>
  <si>
    <t>Plastic waste leakage during informal service chain sorting</t>
  </si>
  <si>
    <t>Plastic waste in storm drains entering waterways</t>
  </si>
  <si>
    <t>Plastic waste leakage during transportation to disposal</t>
  </si>
  <si>
    <t>How much MSW is collected by the informal value-chain sector for recovery? Ⓘ</t>
  </si>
  <si>
    <t>How much of the collected waste is sent to energy from waste? Ⓘ</t>
  </si>
  <si>
    <t>How much of the collected waste is sorted for recovery? Ⓘ</t>
  </si>
  <si>
    <t>Plastic leakage during transportation to disposal</t>
  </si>
  <si>
    <t>Waste for diposal</t>
  </si>
  <si>
    <t>Plastic waste leaking during transportation to disposal</t>
  </si>
  <si>
    <t>Sorted for recovery from informal collection</t>
  </si>
  <si>
    <t>Sorting for recovery from informal service-chain</t>
  </si>
  <si>
    <t>Sorted for recovery from formal collection</t>
  </si>
  <si>
    <t>Sorting for recovery managed in controlled facilities</t>
  </si>
  <si>
    <t>Plastic leaking from informal value-chain collection</t>
  </si>
  <si>
    <t>MSW generation (at source)</t>
  </si>
  <si>
    <t>Cleaning of storm drains</t>
  </si>
  <si>
    <t>Cleaned from storm drains</t>
  </si>
  <si>
    <t>Not cleaned from storm drains</t>
  </si>
  <si>
    <t>Plastic to storm drains</t>
  </si>
  <si>
    <t>Plastic in storm drains to water systems</t>
  </si>
  <si>
    <t>Plastic entering water suystems (directly or via transportation over land)</t>
  </si>
  <si>
    <r>
      <t xml:space="preserve">Waste sorted for recovery by informal sector
</t>
    </r>
    <r>
      <rPr>
        <i/>
        <sz val="8"/>
        <rFont val="Calibri"/>
        <family val="2"/>
        <scheme val="minor"/>
      </rPr>
      <t>(excludes energy from waste)</t>
    </r>
  </si>
  <si>
    <r>
      <t xml:space="preserve">Waste sorted for recovery
</t>
    </r>
    <r>
      <rPr>
        <i/>
        <sz val="8"/>
        <rFont val="Calibri"/>
        <family val="2"/>
        <scheme val="minor"/>
      </rPr>
      <t>(excludes energy from waste)</t>
    </r>
  </si>
  <si>
    <r>
      <t xml:space="preserve">Waste sorted for recovery 
</t>
    </r>
    <r>
      <rPr>
        <i/>
        <sz val="8"/>
        <rFont val="Calibri"/>
        <family val="2"/>
        <scheme val="minor"/>
      </rPr>
      <t>(excludes energy from waste)</t>
    </r>
  </si>
  <si>
    <t>Plastic waste cleaned from drains</t>
  </si>
  <si>
    <t>Level of direct dumping in water systems</t>
  </si>
  <si>
    <t>Level of plastic to water systems</t>
  </si>
  <si>
    <t>Level of direct dumping to water systems</t>
  </si>
  <si>
    <r>
      <t xml:space="preserve">This value should be measured at source using waste characterisation excercises as explained in the user manual. As a last resort, please use values from comparable areas or the default values below:
</t>
    </r>
    <r>
      <rPr>
        <b/>
        <sz val="10"/>
        <color theme="1"/>
        <rFont val="Calibri"/>
        <family val="2"/>
        <scheme val="minor"/>
      </rPr>
      <t>High Income:</t>
    </r>
    <r>
      <rPr>
        <sz val="10"/>
        <color theme="1"/>
        <rFont val="Calibri"/>
        <family val="2"/>
        <scheme val="minor"/>
      </rPr>
      <t xml:space="preserve"> 1.58</t>
    </r>
    <r>
      <rPr>
        <i/>
        <sz val="10"/>
        <color theme="1"/>
        <rFont val="Calibri"/>
        <family val="2"/>
        <scheme val="minor"/>
      </rPr>
      <t xml:space="preserve"> kg/capita/day</t>
    </r>
    <r>
      <rPr>
        <sz val="10"/>
        <color theme="1"/>
        <rFont val="Calibri"/>
        <family val="2"/>
        <scheme val="minor"/>
      </rPr>
      <t xml:space="preserve">
</t>
    </r>
    <r>
      <rPr>
        <b/>
        <sz val="10"/>
        <color theme="1"/>
        <rFont val="Calibri"/>
        <family val="2"/>
        <scheme val="minor"/>
      </rPr>
      <t>Upper Middle Income:</t>
    </r>
    <r>
      <rPr>
        <sz val="10"/>
        <color theme="1"/>
        <rFont val="Calibri"/>
        <family val="2"/>
        <scheme val="minor"/>
      </rPr>
      <t xml:space="preserve"> 0.83</t>
    </r>
    <r>
      <rPr>
        <i/>
        <sz val="10"/>
        <color theme="1"/>
        <rFont val="Calibri"/>
        <family val="2"/>
        <scheme val="minor"/>
      </rPr>
      <t xml:space="preserve"> kg/capita/day</t>
    </r>
    <r>
      <rPr>
        <sz val="10"/>
        <color theme="1"/>
        <rFont val="Calibri"/>
        <family val="2"/>
        <scheme val="minor"/>
      </rPr>
      <t xml:space="preserve">
</t>
    </r>
    <r>
      <rPr>
        <b/>
        <sz val="10"/>
        <color theme="1"/>
        <rFont val="Calibri"/>
        <family val="2"/>
        <scheme val="minor"/>
      </rPr>
      <t>Lower Middle Income:</t>
    </r>
    <r>
      <rPr>
        <sz val="10"/>
        <color theme="1"/>
        <rFont val="Calibri"/>
        <family val="2"/>
        <scheme val="minor"/>
      </rPr>
      <t xml:space="preserve"> 0.63 </t>
    </r>
    <r>
      <rPr>
        <i/>
        <sz val="10"/>
        <color theme="1"/>
        <rFont val="Calibri"/>
        <family val="2"/>
        <scheme val="minor"/>
      </rPr>
      <t>kg/capita/day</t>
    </r>
    <r>
      <rPr>
        <sz val="10"/>
        <color theme="1"/>
        <rFont val="Calibri"/>
        <family val="2"/>
        <scheme val="minor"/>
      </rPr>
      <t xml:space="preserve">
</t>
    </r>
    <r>
      <rPr>
        <b/>
        <sz val="10"/>
        <color theme="1"/>
        <rFont val="Calibri"/>
        <family val="2"/>
        <scheme val="minor"/>
      </rPr>
      <t>Low Income:</t>
    </r>
    <r>
      <rPr>
        <sz val="10"/>
        <color theme="1"/>
        <rFont val="Calibri"/>
        <family val="2"/>
        <scheme val="minor"/>
      </rPr>
      <t xml:space="preserve"> 0.43 </t>
    </r>
    <r>
      <rPr>
        <i/>
        <sz val="10"/>
        <color theme="1"/>
        <rFont val="Calibri"/>
        <family val="2"/>
        <scheme val="minor"/>
      </rPr>
      <t xml:space="preserve">kg/capita/da
</t>
    </r>
    <r>
      <rPr>
        <sz val="10"/>
        <color theme="1"/>
        <rFont val="Calibri"/>
        <family val="2"/>
        <scheme val="minor"/>
      </rPr>
      <t>(Source: Kaza et.al. 2018</t>
    </r>
    <r>
      <rPr>
        <i/>
        <sz val="10"/>
        <color theme="1"/>
        <rFont val="Calibri"/>
        <family val="2"/>
        <scheme val="minor"/>
      </rPr>
      <t>. What a Waste 2.0: A Global Snapshot of Solid Waste Management
to 2050</t>
    </r>
    <r>
      <rPr>
        <sz val="10"/>
        <color theme="1"/>
        <rFont val="Calibri"/>
        <family val="2"/>
        <scheme val="minor"/>
      </rPr>
      <t>)</t>
    </r>
  </si>
  <si>
    <r>
      <t xml:space="preserve">This value should be measured at source using waste characterisation excercises as explained in the user manual. As a last resort, please use values from comparable areas or the default values below:
</t>
    </r>
    <r>
      <rPr>
        <b/>
        <sz val="10"/>
        <color theme="1"/>
        <rFont val="Calibri"/>
        <family val="2"/>
        <scheme val="minor"/>
      </rPr>
      <t>High Income:</t>
    </r>
    <r>
      <rPr>
        <sz val="10"/>
        <color theme="1"/>
        <rFont val="Calibri"/>
        <family val="2"/>
        <scheme val="minor"/>
      </rPr>
      <t xml:space="preserve"> 1.58 kg/capita/day
</t>
    </r>
    <r>
      <rPr>
        <b/>
        <sz val="10"/>
        <color theme="1"/>
        <rFont val="Calibri"/>
        <family val="2"/>
        <scheme val="minor"/>
      </rPr>
      <t>Upper Middle Income:</t>
    </r>
    <r>
      <rPr>
        <sz val="10"/>
        <color theme="1"/>
        <rFont val="Calibri"/>
        <family val="2"/>
        <scheme val="minor"/>
      </rPr>
      <t xml:space="preserve"> 0.83 kg/capita/day
</t>
    </r>
    <r>
      <rPr>
        <b/>
        <sz val="10"/>
        <color theme="1"/>
        <rFont val="Calibri"/>
        <family val="2"/>
        <scheme val="minor"/>
      </rPr>
      <t xml:space="preserve">Lower Middle Income: </t>
    </r>
    <r>
      <rPr>
        <sz val="10"/>
        <color theme="1"/>
        <rFont val="Calibri"/>
        <family val="2"/>
        <scheme val="minor"/>
      </rPr>
      <t xml:space="preserve">0.63 kg/capita/day
</t>
    </r>
    <r>
      <rPr>
        <b/>
        <sz val="10"/>
        <color theme="1"/>
        <rFont val="Calibri"/>
        <family val="2"/>
        <scheme val="minor"/>
      </rPr>
      <t xml:space="preserve">Low Income: </t>
    </r>
    <r>
      <rPr>
        <sz val="10"/>
        <color theme="1"/>
        <rFont val="Calibri"/>
        <family val="2"/>
        <scheme val="minor"/>
      </rPr>
      <t xml:space="preserve">0.43 kg/capita/da
(Source: Kaza et.al. 2018. </t>
    </r>
    <r>
      <rPr>
        <i/>
        <sz val="10"/>
        <color theme="1"/>
        <rFont val="Calibri"/>
        <family val="2"/>
        <scheme val="minor"/>
      </rPr>
      <t>What a Waste 2.0: A Global Snapshot of Solid Waste Management to 2050</t>
    </r>
    <r>
      <rPr>
        <sz val="10"/>
        <color theme="1"/>
        <rFont val="Calibri"/>
        <family val="2"/>
        <scheme val="minor"/>
      </rPr>
      <t>).</t>
    </r>
  </si>
  <si>
    <t>Decision Tree</t>
  </si>
  <si>
    <t>Leakage potential</t>
  </si>
  <si>
    <t>Leakage factor</t>
  </si>
  <si>
    <t>Most of the waste is openly stored outside without any dedicated container (e.g. temporary disposal sites). Frequency of collection is very low compared to what is required. Service is very often delayed beyond the minimum frequency. Most waste is disposed of loose.</t>
  </si>
  <si>
    <t>Containers are available in most but not all districts but they are open to the environment (no lids / gaps in side), shows high levels of damage, and/or are readily accessible by animals. The capacity of the bins may be insufficient for the quantity of waste or difficult to access therefore dumping waste around the collection container is typical. Frequency of collection is low compared to what is required. Service is often delayed beyond the minimum frequency. Small amounts of waste are disposed of in bags.</t>
  </si>
  <si>
    <t>Containers are available in most but not all districts. The storage containers are open to the environment (no lids / gaps in side), show low levels of damage, and are not easily accessible by animals. The capacity of the bins is generally sufficient for the quantity of waste but some dumping of waste around the collection container may occur. Frequency of collection is slightly below what is required. Service is occasionally delayed beyond the minimum frequency. Waste is occasionally disposed of in bags.</t>
  </si>
  <si>
    <t>Containers are available in all districts but are typically open to the environment (no lids / gaps in side), show low levels of damage, and are not easily accessible by animals. The capacity of the bins is generally sufficient for the quantity of waste but some dumping of waste around the collection container may occur in small quantities. Frequency of collection is adequate for what is required. Service is very occasionally delayed beyond the minimum frequency. Waste is commonly disposed of in bags.</t>
  </si>
  <si>
    <t>Containers are available in all districts with them closed to the environment (lids and fully enclosed sides), show low levels of damage, and are not easily accessible by animals. The capacity of the bins is sufficient for the quantity of waste with little to no waste dumped around the collection container. Alternatively, waste is kept indoors prior to formal collection. Frequency of collection is adequate what is required. Service is rarely beyond the minimum frequency. Waste is predominately disposed of in bags.</t>
  </si>
  <si>
    <t>Table 1: Leakage potential levels for influencer "collection containers"</t>
  </si>
  <si>
    <t>Most of the waste must be manually loaded to vehicles with shovels / wheelbarrows / heavy machinery. Waste is transferred to the collection vehicle from a fixed collection container / location.</t>
  </si>
  <si>
    <t xml:space="preserve">Most of the waste must be manually loaded to vehicles however the storage containers are generally portable and are transported to the waste collection vehicle with the waste still inside. </t>
  </si>
  <si>
    <t xml:space="preserve">Most of the waste is loaded using automatic systems. The storage containers are portable and are transported to the waste collection vehicle with waste still inside. </t>
  </si>
  <si>
    <t>Table 2: leakage potential levels for influencer “loading method”</t>
  </si>
  <si>
    <r>
      <t>The majority of primary transportation vehicles have a small capacity (&lt;5m</t>
    </r>
    <r>
      <rPr>
        <vertAlign val="superscript"/>
        <sz val="10"/>
        <color theme="1"/>
        <rFont val="Arial"/>
        <family val="2"/>
      </rPr>
      <t>3</t>
    </r>
    <r>
      <rPr>
        <sz val="10"/>
        <color theme="1"/>
        <rFont val="Arial"/>
        <family val="2"/>
      </rPr>
      <t>) and typically run over capacity. The vehicles container is open to the environment (no cover / gaps in side) allowing waste to easily escape. The vehicle is powered by low-tech options such as human / animal power, or small engines (i.e. motorbikes). Sorting may occur within the transportation vehicle.</t>
    </r>
  </si>
  <si>
    <r>
      <t>The majority of primary transportation vehicle have a mid to large capacity (&gt;5m</t>
    </r>
    <r>
      <rPr>
        <vertAlign val="superscript"/>
        <sz val="10"/>
        <color theme="1"/>
        <rFont val="Arial"/>
        <family val="2"/>
      </rPr>
      <t>3</t>
    </r>
    <r>
      <rPr>
        <sz val="10"/>
        <color theme="1"/>
        <rFont val="Arial"/>
        <family val="2"/>
      </rPr>
      <t>) but may occasionally run over capacity. The vehicles container is typically open to the environment (no cover / gaps in side) allowing waste to easily escape. Sorting may occur within the transportation vehicle.</t>
    </r>
  </si>
  <si>
    <t>All primary transportation vehicles are closed to the environment (i.e. covered), stays within its capacity limit and may contain advanced features such as compaction mechanisms.</t>
  </si>
  <si>
    <t>N/A*</t>
  </si>
  <si>
    <t>There is no distinction between primary and secondary collection (i.e. collected waste is immediately transferred to disposal)</t>
  </si>
  <si>
    <t>Table 3: leakage potential levels for influencer “primary transportation”</t>
  </si>
  <si>
    <t xml:space="preserve">Collected waste is transferred between multiple vehicles / people with low frequency between transfers (i.e. long wait times). There is no dedicated facility for the transfer of waste with this generally occurring on the side of streets. Waste containment during transfer is poor, typically being loaded onto the ground prior to loading the secondary transportation vehicle. Poor / non-existent site management. </t>
  </si>
  <si>
    <t>Collected waste is transferred between multiple vehicles / people with a typically short frequency between transfers. There are dedicated facilities for the transfer of waste although waste containment during transfer is poor, typically being loaded onto the ground prior to loading the secondary transportation vehicle. Site management is generally adequate.</t>
  </si>
  <si>
    <t>Collected waste is adequately transferred between multiple vehicles / people. There are dedicated facilities for the transfer of waste with high levels of waste containment.  Waste is transferred either directly into secondary transportation vehicles, or stored in designated compartments. Site management is good.</t>
  </si>
  <si>
    <t xml:space="preserve">There is no distinction between primary and secondary collection (i.e. collected waste is immediately transferred to disposal) </t>
  </si>
  <si>
    <t>Table 4: leakage potential levels for influencer “multiple handling”</t>
  </si>
  <si>
    <t>Multiple handling</t>
  </si>
  <si>
    <t xml:space="preserve">Plastic leakages during informal value-chain collection (F13) refer to the plastic waste which escapes the waste management system whilst:
1. It is being collected by the value chain of the informal sector;
2. It is being transported by the informal sector.
The informal waste sector is active in many areas of the world. While the service-chain of the informal sector is covered by flow F2 (collection services), the flow here refers to the value-chain of the informal sector. This relates to unregistered and unlicensed individuals or cooperatives that collect waste material which has value for them to subsequently sell.
Collection can be performed by going door-to-door, or from scavenging from litter, collection points, transfer stations or dumpsites. In some cases, the informal sector value-chain can improve plastic leakages by collecting plastic already in the environment, whilst in other cases, they may interfere with infrastructure causing the release of more plastic (i.e. from overturning bins). Within the WFD, the positive effect is accounted for by subtracting that value off the uncollected waste, thereby reducing leakage.
Following the collection, the informal sector workers typically have to transport the material to a location for sorting or sale of the material. This transportation may involve the waste being poorly contained and as such to the leakage of plastic. 
</t>
  </si>
  <si>
    <t>Leakage of plastic from collection services (F12) refers to the plastic which escapes the waste management system whilst:
1. It is being stored waiting for collection services;
2. It is being loaded on to the collection vehicle;
3. During primary transportation
Waste collection is typically the most expensive aspect of MSWM, largely due to the need to regularly collect waste from lots of disperse points across the municipality. This typically begins with residents and businesses having to dispose of their waste in collection containers, from which the collection service can collect from. The more collection containers present, the easier it is for residents to dispose of their waste, yet this also increases time and cost for the collection services. Due to the widespread nature of operations and associated expense, waste collection infrastructure and practices often vary considerably. Without significant investment, much of this infrastructure is likely to suffer from having inadequate levels of waste containment, dilapidation over time, as well as potential misuse by residents.
Additionally, the collection of the waste requires the collection services to load the stored waste onto transportation vehicles. Depending on the infrastructure involved this may be a manual task or largely automated. The waste may also have to go through a series of aggregation stages to get it to a sufficient quantity for transportation to treatment and disposal. These first collection and aggregation stages are known as primary transportation, whereas the subsequent transfer to treatment and disposal is secondary transportation. Although this repeated transfer and aggregation of waste may make sense practically, the repeat movement and multiple handling of the waste can also impact the amount of plastic that can escape into the environment.
Considering the above, waste collection is often believed to contribute large amounts to unmanaged plastic in the environment. Although these leakages from collection services are often small in comparison to the total volume of waste being collected, the widespread nature of collection means these leakages have the potential to add up to significant numbers.</t>
  </si>
  <si>
    <t>Decision tree</t>
  </si>
  <si>
    <t>The informal sector is seen to cause significant release of waste into the environment during collection in most of the city. Practises such as overturning bins to get access to valuable material and discarding unwanted items during the collection (bottle tops, labels etc.) is common.</t>
  </si>
  <si>
    <t>The informal sector is seen to cause moderate release of waste into the environment during collection. Practises such as overturning bins to get access to valuable material and discarding unwanted items during the collection (bottle tops, labels etc.) occurs occasionally.</t>
  </si>
  <si>
    <t xml:space="preserve">Most of the plastic materials are separately collected from the source. The informal sector is seen to cause little to no release of waste into the environment during collection. Practises such as overturning bins to get access to valuable material and discarding unwanted items during the collection (bottle tops, labels etc.) are rare.  </t>
  </si>
  <si>
    <t>Table 5: leakage potential levels for influencer “extraction method of recyclables”</t>
  </si>
  <si>
    <t>Recyclables extraction method</t>
  </si>
  <si>
    <t>The plastic waste transported is predominantly poorly contained (not in bags). Most vehicles run over capacity</t>
  </si>
  <si>
    <t>The plastic waste transported is occasionally poorly contained. Over capacity of vehicles leading to leakages during transportation is intermittent.</t>
  </si>
  <si>
    <t>Most vehicles used to transport plastic waste are closed to the environment (i.e. cover). Most vehicles stay within their capacity limit</t>
  </si>
  <si>
    <t>Table 6: leakage potential levels for influencer “transportation method”</t>
  </si>
  <si>
    <t>Plastic leakage from formal sorting</t>
  </si>
  <si>
    <t>Description.</t>
  </si>
  <si>
    <t>None of the sorting facilities dispose of sorting rejects in the formal collection system. There is a complete absence of formal services. Frequent dumping or open burning of rejects is widespread.</t>
  </si>
  <si>
    <t>A minority of sorting facilities dispose of the sorting rejects to the formal collection system. There are occasional formal containers or drop-off points in the area. Dumping or open burning of rejects is known to occur frequently.</t>
  </si>
  <si>
    <t>A significant amount of the sorting rejects are returned to the formal system, however some dumping or open burning of rejects is known to occur in areas.</t>
  </si>
  <si>
    <t>Most of the sorting rejects are returned to the formal system, containers or depots in the vicinity are regularly serviced and the area is linked to a formal system. Most dumping or open burning of waste is not believed to have originated from the sorting activities.</t>
  </si>
  <si>
    <t>All of the sorting rejects are returned to the formal system, containers or depots in the vicinity are regularly serviced and the area is linked to a formal system. Any dumping or open burning of waste is not believed to have originated from the sorting activities.</t>
  </si>
  <si>
    <t>Plastic leakage from informal service chain sorting</t>
  </si>
  <si>
    <t>Note: Plastic leakage from informal service-chain sorting is only applied to the service-chain branch of the informal sector. As such, the value-chain is omitted from this. This is due to the first stage of sorting (as measured by the WFD) for the value-chain is at the point of collection. For example, waste pickers collecting valuable materials are automatically sorting waste as they pick by not collecting low-value items. Any leakages associated with this are instead assigned to the collection phase.</t>
  </si>
  <si>
    <t xml:space="preserve">Plastic leakage during transportation to disposal (F16) refers to the plastic items lost when the material is being transported by the collection vehicles to its final destination. This indicator only considers the amounts of plastic leaked during the action of transportation. 
Often, collection services are split into primary and secondary collection. If this is the case, this leakage flow only considers the amounts of plastic lost during transport of the secondary collection vehicles. The leakage from primary collection services is covered by F12 as described in sections C1. If collection services are not split, this indicator covers all plastic leakage from transportation. This avoids double counting by setting the transportation factors in C1 to zero.
The best way to assess this indicator is to plan an observation campaign in the final destination where the waste is brought (i.e. disposal site, or recovery facilities). Observe the trucks arriving to the sites for a few hours. Evaluate the presence of the reduction measures explained below and assign the appropriate leakage factor.
</t>
  </si>
  <si>
    <t>Leakage Potential</t>
  </si>
  <si>
    <t>Leakage Factor</t>
  </si>
  <si>
    <t>The load in most of the collection vehicles exceeds the capacity.</t>
  </si>
  <si>
    <t>Around half of the trucks’ load exceeds the capacity.</t>
  </si>
  <si>
    <t>The load in most of the collection vehicles does not exceed the capacity.</t>
  </si>
  <si>
    <t>Table 13: leakage potential levels for influencer “Capacity vs load”</t>
  </si>
  <si>
    <t>Most of the generators in the city do not dispose of their waste contained in bags. Loaders practice cherry picking during transport for which they open most of the bags.</t>
  </si>
  <si>
    <t>Around half of the generators in the city dispose of their waste contained in bags and the other half uncontained. Loaders practice some cherry picking during transport for which they open some of the bags.</t>
  </si>
  <si>
    <t>Most of the generators in the city dispose of their waste contained in bags and these are not opened during transport.</t>
  </si>
  <si>
    <t>Table 14: leakage potential levels for influencer “Waste containment”</t>
  </si>
  <si>
    <t>Most of the collection vehicles in the city are uncovered vehicles</t>
  </si>
  <si>
    <t>The number of collection vehicles are fairly split between uncovered and fully enclosed.</t>
  </si>
  <si>
    <t>Most of the collection vehicles in the city are fully enclosed.</t>
  </si>
  <si>
    <t>All of the collection vehicles in the city are fully enclosed (e.g. compactor trucks)</t>
  </si>
  <si>
    <t>Coverage of collection vehicle</t>
  </si>
  <si>
    <t>Table 15: leakage potential levels for influencer “Coverage of collection vehicle”</t>
  </si>
  <si>
    <t>Site is located in an area prone to regular flooding or landslides affecting the majority of the site.</t>
  </si>
  <si>
    <t>Site is located in an area prone to occasional flooding or landslides affecting large parts of the site.</t>
  </si>
  <si>
    <t xml:space="preserve">Site is located in an area where regular flooding or landslides affect small parts of the site. </t>
  </si>
  <si>
    <t>Site is located in an area where regular flooding or landslides affect very few parts of the site.</t>
  </si>
  <si>
    <t>Site is located in an area which does not regularly have environmental hazards such as flooding or landslides</t>
  </si>
  <si>
    <t>Table 16: leakage potential levels for influencer “environmental hazards”</t>
  </si>
  <si>
    <t>Site is regularly exposed to heavy and persistent winds or surface runoff.</t>
  </si>
  <si>
    <t>Site is sometimes exposed to heavy and persistent winds or surface runoff.</t>
  </si>
  <si>
    <t>Site is rarely exposed to heavy and persistent winds or surface runoff.</t>
  </si>
  <si>
    <t>Table 17: leakage potential levels for influencer “exposure to weather”</t>
  </si>
  <si>
    <t xml:space="preserve">No designated discharge zones. Waste pickers active on all the site. No compaction or management of waste. Waste is piled above ground with full exposure to wind, rain and surface runoff. </t>
  </si>
  <si>
    <t>Waste is generally discharged in designated zones. Waste pickers active on most of the site. Compaction or management of waste typically does not occur. Waste is piled above ground with full exposure to wind, rain and surface runoff.</t>
  </si>
  <si>
    <t>Waste is generally discharged in designated zones. Waste pickers active around discharge zone of the site. Compaction or management of waste is intermittent. Waste is piled above ground with full exposure to wind, rain and surface runoff.</t>
  </si>
  <si>
    <t>Waste is discharged in designated zones. Waste pickers are not allowed on site. Compaction or management of waste occurs. Waste is in pits below ground level with minimal exposure to wind, rain and surface runoff.</t>
  </si>
  <si>
    <t>Table 18: leakage potential levels for influencer “waste handling”</t>
  </si>
  <si>
    <t>No coverage or covered less than once per month</t>
  </si>
  <si>
    <t>Waste is covered typically once per month</t>
  </si>
  <si>
    <t>Waste is covered typically once per week</t>
  </si>
  <si>
    <t>Waste is covered typically daily</t>
  </si>
  <si>
    <t>Table 19: leakage potential levels for influencer “coverage”</t>
  </si>
  <si>
    <t>Burning of waste does not occur</t>
  </si>
  <si>
    <t>Burning of waste is rare</t>
  </si>
  <si>
    <t>Burning of waste is occasional</t>
  </si>
  <si>
    <t>Burning of waste is widespread and prevalent</t>
  </si>
  <si>
    <t>Table 20: leakage potential levels for influencer “Burning”</t>
  </si>
  <si>
    <t>No fencing</t>
  </si>
  <si>
    <t>Fence surrounds less than half of the perimeter or big sections of the fence are broken</t>
  </si>
  <si>
    <t xml:space="preserve">Fence surrounds most of the perimeter but is broken in several sections </t>
  </si>
  <si>
    <t>Fence surrounds the entire perimeter and is maintained</t>
  </si>
  <si>
    <t>Table 21: leakage potential levels for influencer “Fencing”</t>
  </si>
  <si>
    <t xml:space="preserve">This section represents the amount of plastic which is transferred through storm drain systems and enters water systems. In most cities, there is little information available on solid waste washed into drainage systems and the methods or quantity / quality of removed solid waste. However, often the solid waste washed into drainage systems is ‘sooner or later’ completely washed out into water systems such as rivers. This especially applies for open and uncontrolled drainage systems. The exception to this is where drain cleaning occurs. Many countries periodically clean storm drains so as to avoid flooding issues associated with the build-up of waste to the point whereby it blocks the flow of water. These cleaning events may be regular, or be targeted to occur before the onset of heavy rain events such as the rainy season.
The logic used for the calculation of how much plastic in storm drains reaches waterbodies is based on the following concept. It assumes that any plastic not removed from the drains by cleaning, is eventually transferred to waterbodies. As rainfall dictates when this plastic will become mobile within the drains, the more frequent the rainfall, the less opportunity there is to remove the waste before it gets washed into waterbodies. In contrast, the more frequent and widespread the drain cleaning, the less waste there will be in the drains to be transferred at the next rainfall event. </t>
  </si>
  <si>
    <t>Rainfall and heavy storms are frequent throughout the year with all 12 months having an average precipitation of at least 60 mm. Equivalent of the tropical rainforest climate (Af) in the Köppen climate classification.</t>
  </si>
  <si>
    <t>Rainfall is frequent throughout the year with heavy storms often occurring during the hotter months. There is no predictable dry summer month. Equivalent of the humid subtropical climate (Cfa), oceanic climate (Cfb), subpolar oceanic climates (Cfc) or wet continental climates (Df) in the Köppen climate classification.</t>
  </si>
  <si>
    <t>Rainfall is highly seasonal, often impacted by monsoon rains, with a dry season and wet season. Equivalent of the tropical monsoon (Am), dry-winter subtropical (Cw) or dry-winter continental climates (Dw) in the Köppen climate classification.</t>
  </si>
  <si>
    <t>Rainfall has a pronounced dry season whilst the short wet season has more limited rainfall than above categories. Equivalent of the savannah (Aw), Mediterranean (Cs) or dry-summer continental climates (Ds) in the Köppen climate classification.</t>
  </si>
  <si>
    <t>Dry climate characterised by little precipitation. Equivalent of the arid (Bw) and semi-arid (Bs) climates in the Köppen climate classification.</t>
  </si>
  <si>
    <t>Table 22: Leakage potential levels for influencer “frequency of rainfall and storm events”</t>
  </si>
  <si>
    <t>Storm drains do not have any solid waste cleaning activities. Litter traps are not used.</t>
  </si>
  <si>
    <t>A small amount of drains are cleaned once per year. Litter traps are not used.</t>
  </si>
  <si>
    <t>A small amount of drains are cleaned once to twice a year, with this planned to occur before periods of heavy rain (i.e. wet season if applicable). Litter traps are used on a handful of drain outlets and are well maintained.</t>
  </si>
  <si>
    <t>A large amount of drains are cleaned once to twice a year, with this planned to occur before periods of heavy rain (i.e. wet season if applicable). Litter traps are used on around half of the drain outlets and are well maintained.</t>
  </si>
  <si>
    <t>The majority of storm drains are cleaned regularly (several times a year). Litter traps are used on the majority of drain outlets and are well maintained.</t>
  </si>
  <si>
    <t>Table 23: Leakage potential levels for influencer “drain cleaning”</t>
  </si>
  <si>
    <t xml:space="preserve">The leakage type “diffuse voluntary” represents the dumping or open burning of waste from uncollected waste. Considering this, observations should be conducted with the immediate vicinity of areas which lack any form of waste collection service (including informal waste collection services). As the leakage type is voluntary (e.g. a person is in control of how they dispose of it) open burning is included as a fate. </t>
  </si>
  <si>
    <t>Fate decision tree</t>
  </si>
  <si>
    <t>Fate Potential</t>
  </si>
  <si>
    <t>Fate Factor</t>
  </si>
  <si>
    <t>In areas without waste collection services, there is evidence that residents routinely burn their waste, with it believed to be the primary means of disposal.</t>
  </si>
  <si>
    <t>In areas without waste collection services, there is evidence that residents routinely burn their waste, with it believed to be a major but not primary means of disposal.</t>
  </si>
  <si>
    <t>In areas without waste collection services, there is evidence that residents may regularly burn their waste, but this is not believed to be the primary means of disposal.</t>
  </si>
  <si>
    <t>In areas without waste collection services, there is sporadic evidence that a minority of the residents may regularly burn waste, but this is not believed to be the primary means of disposal for the majority of residents.</t>
  </si>
  <si>
    <t>In areas without waste collection services, there is sporadic evidence that a minority residents may have occasionally burnt waste, but this is believed to be a rare occurrence.</t>
  </si>
  <si>
    <t>In areas without waste collection services, there is no evidence of open burning occurring.</t>
  </si>
  <si>
    <t>Table 24: Level of diffuse open burning</t>
  </si>
  <si>
    <t>Diffuse Voluntary - Open burning</t>
  </si>
  <si>
    <t>In areas without waste collection services, there is evidence that residents dump the vast majority of their waste to land, with it believed to be the primary means of disposal.</t>
  </si>
  <si>
    <t>OR</t>
  </si>
  <si>
    <r>
      <t xml:space="preserve">In areas without waste collection services, there is evidence that residents routinely dump their waste to land </t>
    </r>
    <r>
      <rPr>
        <b/>
        <sz val="10"/>
        <color theme="1"/>
        <rFont val="Arial"/>
        <family val="2"/>
      </rPr>
      <t>AND</t>
    </r>
    <r>
      <rPr>
        <sz val="10"/>
        <color theme="1"/>
        <rFont val="Arial"/>
        <family val="2"/>
      </rPr>
      <t xml:space="preserve"> regular street sweeping occurs in the areas without waste collection.</t>
    </r>
  </si>
  <si>
    <t>In areas without waste collection services, there is evidence that residents routinely dump their waste to land, with it believed to be an important means of disposal.</t>
  </si>
  <si>
    <r>
      <t>In areas without waste collection services, there is evidence that residents may regularly dump their waste to land</t>
    </r>
    <r>
      <rPr>
        <b/>
        <sz val="10"/>
        <color theme="1"/>
        <rFont val="Arial"/>
        <family val="2"/>
      </rPr>
      <t xml:space="preserve"> AND</t>
    </r>
    <r>
      <rPr>
        <sz val="10"/>
        <color theme="1"/>
        <rFont val="Arial"/>
        <family val="2"/>
      </rPr>
      <t xml:space="preserve"> regular street sweeping occurs in the areas without waste collection.</t>
    </r>
  </si>
  <si>
    <t>In areas without waste collection services, there is evidence that residents may regularly dump their waste to land, but this is not believed to be the primary means of disposal.</t>
  </si>
  <si>
    <r>
      <t>In areas without waste collection services, there is sporadic evidence that a minority of residents may regularly dump their waste to land</t>
    </r>
    <r>
      <rPr>
        <b/>
        <sz val="10"/>
        <color theme="1"/>
        <rFont val="Arial"/>
        <family val="2"/>
      </rPr>
      <t xml:space="preserve"> AND</t>
    </r>
    <r>
      <rPr>
        <sz val="10"/>
        <color theme="1"/>
        <rFont val="Arial"/>
        <family val="2"/>
      </rPr>
      <t xml:space="preserve"> occasional street sweeping occurs in the areas without waste collection.</t>
    </r>
  </si>
  <si>
    <t>In areas without waste collection services, there is sporadic evidence that a minority of residents may regularly dump their waste to land, but this is not believed to be the primary means of disposal for the majority of residents.</t>
  </si>
  <si>
    <t>AND</t>
  </si>
  <si>
    <t>There is no active street sweeping within the areas without waste collection that may be collecting any waste dumped to land.</t>
  </si>
  <si>
    <t>In areas without waste collection services, there is sporadic evidence that a minority of residents may occasionally dump their waste to land, but this is believed to be a rare occurrence.</t>
  </si>
  <si>
    <t>In areas without waste collection services, there is no evidence of waste being dumped to land.</t>
  </si>
  <si>
    <t>Diffuse voluntary - Land</t>
  </si>
  <si>
    <t>Table 25: Level of diffuse dumping to land</t>
  </si>
  <si>
    <t>In areas without waste collection services, there is evidence that the majority of the residents routinely dump their waste to drains, with it believed to be the primary means of disposal for many residents.</t>
  </si>
  <si>
    <r>
      <t>In areas without waste collection services, there is evidence that many of the residents routinely dump their waste to drains, with it believed to be the primary means of disposal for a minority of residents</t>
    </r>
    <r>
      <rPr>
        <b/>
        <sz val="10"/>
        <color theme="1"/>
        <rFont val="Arial"/>
        <family val="2"/>
      </rPr>
      <t xml:space="preserve"> AND r</t>
    </r>
    <r>
      <rPr>
        <sz val="10"/>
        <color theme="1"/>
        <rFont val="Arial"/>
        <family val="2"/>
      </rPr>
      <t>egular cleaning of the drains occurs throughout the entire area.</t>
    </r>
  </si>
  <si>
    <t>In areas without waste collection services, there is evidence that many of the residents routinely dump their waste to drains, with it believed to be the primary means of disposal for a minority of residents.</t>
  </si>
  <si>
    <r>
      <t xml:space="preserve">In areas without waste collection services, there is evidence that many residents may regularly dump their waste to drains, but this is not believed to be the primary means of disposal for any residents </t>
    </r>
    <r>
      <rPr>
        <b/>
        <sz val="10"/>
        <color theme="1"/>
        <rFont val="Arial"/>
        <family val="2"/>
      </rPr>
      <t>AND</t>
    </r>
    <r>
      <rPr>
        <sz val="10"/>
        <color theme="1"/>
        <rFont val="Arial"/>
        <family val="2"/>
      </rPr>
      <t xml:space="preserve"> regular cleaning of the drains occurs in the area.</t>
    </r>
  </si>
  <si>
    <t>In areas without waste collection services, there is evidence that many residents may regularly dump their waste to drains, but this is not believed to be the primary means of disposal for any residents.</t>
  </si>
  <si>
    <r>
      <t>In areas without waste collection services, there is sporadic evidence that a minority of residents may regularly dump their waste to drains</t>
    </r>
    <r>
      <rPr>
        <b/>
        <sz val="10"/>
        <color theme="1"/>
        <rFont val="Arial"/>
        <family val="2"/>
      </rPr>
      <t xml:space="preserve"> AND</t>
    </r>
    <r>
      <rPr>
        <sz val="10"/>
        <color theme="1"/>
        <rFont val="Arial"/>
        <family val="2"/>
      </rPr>
      <t xml:space="preserve"> occasional cleaning of the drains occurs in area.</t>
    </r>
  </si>
  <si>
    <t>In areas without waste collection services, there is sporadic evidence that a minority of residents may regularly dump their waste to drains.</t>
  </si>
  <si>
    <t>There is no active cleaning of the drains within the vicinity that may be collecting any waste dumped to drains.</t>
  </si>
  <si>
    <t>In areas without waste collection services, there is sporadic evidence that a minority of residents may occasionally dump their waste to drains, but this is believed to be infrequent.</t>
  </si>
  <si>
    <t>In areas without waste collection services, there is no evidence of residents dumping waste to drains.</t>
  </si>
  <si>
    <t>Table 26: Level of diffuse dumping in drains</t>
  </si>
  <si>
    <t>Diffuse voluntary - Drains</t>
  </si>
  <si>
    <t>In areas without waste collection services, almost all of the residents are in close proximity (&lt;500 m) to water systems of which they have access.</t>
  </si>
  <si>
    <t>In areas without waste collection services, the majority of residents are in close proximity (&lt;500 m) to water systems of which they have access.</t>
  </si>
  <si>
    <t>In areas without waste collection services, around half of residents are in close proximity (&lt;500 m) to water systems of which they have access.</t>
  </si>
  <si>
    <t>In areas without waste collection services, a minority of residents are in close proximity (&lt;500 m) to water systems of which they have access.</t>
  </si>
  <si>
    <t>In areas without waste collection services, very few residents are in close proximity (&lt;500 m) to water systems of which they have access.</t>
  </si>
  <si>
    <t xml:space="preserve">In areas without waste collection services, there is no presence of waterbodies or access to such water systems is not possible. </t>
  </si>
  <si>
    <t>Throughout all the study area, there is evidence of large quantities of plastic remaining on land (including that caught in vegetation).</t>
  </si>
  <si>
    <r>
      <t xml:space="preserve">In the majority of the study area, there is evidence of large quantities of plastic remaining on land (including that caught in vegetation) </t>
    </r>
    <r>
      <rPr>
        <b/>
        <sz val="10"/>
        <color theme="1"/>
        <rFont val="Arial"/>
        <family val="2"/>
      </rPr>
      <t>AND</t>
    </r>
    <r>
      <rPr>
        <sz val="10"/>
        <color theme="1"/>
        <rFont val="Arial"/>
        <family val="2"/>
      </rPr>
      <t xml:space="preserve"> regular street sweeping occurs in the majority areas.</t>
    </r>
  </si>
  <si>
    <t>In the majority of the study area, there is evidence of large quantities of plastic remaining on land (including that caught in vegetation).</t>
  </si>
  <si>
    <r>
      <t xml:space="preserve">In the majority of the study area, there is evidence of small quantities of plastic remaining on land (including that caught in vegetation) </t>
    </r>
    <r>
      <rPr>
        <b/>
        <sz val="10"/>
        <color theme="1"/>
        <rFont val="Arial"/>
        <family val="2"/>
      </rPr>
      <t>AND</t>
    </r>
    <r>
      <rPr>
        <sz val="10"/>
        <color theme="1"/>
        <rFont val="Arial"/>
        <family val="2"/>
      </rPr>
      <t xml:space="preserve"> regular street sweeping occurs in a minority of areas.</t>
    </r>
  </si>
  <si>
    <t>In the majority of the study area, there is evidence of small quantities of plastic remaining on land (including that caught in vegetation) although a minority of areas show evidence of large quantities.</t>
  </si>
  <si>
    <r>
      <t xml:space="preserve">Throughout all the study area, there is evidence of small quantities of plastic remaining on land (including that caught in vegetation) </t>
    </r>
    <r>
      <rPr>
        <b/>
        <sz val="10"/>
        <color theme="1"/>
        <rFont val="Arial"/>
        <family val="2"/>
      </rPr>
      <t>AND</t>
    </r>
    <r>
      <rPr>
        <sz val="10"/>
        <color theme="1"/>
        <rFont val="Arial"/>
        <family val="2"/>
      </rPr>
      <t xml:space="preserve"> infrequent street sweeping occurs in the majority of areas.</t>
    </r>
  </si>
  <si>
    <t>Throughout all the study area, there is evidence of small quantities of plastic remaining on land (including that caught in vegetation).</t>
  </si>
  <si>
    <r>
      <t xml:space="preserve">In a minority of the study area, there is evidence of small quantities of plastic remaining on land (including that caught in vegetation) but the majority of areas show little to no evidence </t>
    </r>
    <r>
      <rPr>
        <b/>
        <sz val="10"/>
        <color theme="1"/>
        <rFont val="Arial"/>
        <family val="2"/>
      </rPr>
      <t xml:space="preserve">AND </t>
    </r>
    <r>
      <rPr>
        <sz val="10"/>
        <color theme="1"/>
        <rFont val="Arial"/>
        <family val="2"/>
      </rPr>
      <t>infrequent street sweeping occurs in a minority of areas.</t>
    </r>
  </si>
  <si>
    <t>In a minority of the study area, there is evidence of small quantities of plastic remaining on land (including that caught in vegetation) but the majority of areas show little to no evidence.</t>
  </si>
  <si>
    <t>There is no active street sweeping that may be collecting any waste leaked to land.</t>
  </si>
  <si>
    <r>
      <t xml:space="preserve">Throughout all the study area, there is no evidence of plastic remaining on land (including that caught in vegetation) </t>
    </r>
    <r>
      <rPr>
        <b/>
        <sz val="10"/>
        <color theme="1"/>
        <rFont val="Arial"/>
        <family val="2"/>
      </rPr>
      <t>AND t</t>
    </r>
    <r>
      <rPr>
        <sz val="10"/>
        <color theme="1"/>
        <rFont val="Arial"/>
        <family val="2"/>
      </rPr>
      <t>here is no active street sweeping that may be collecting any waste leaked to land.</t>
    </r>
  </si>
  <si>
    <t>Table 28: Level of diffuse leakage to land</t>
  </si>
  <si>
    <t>Diffuse involuntary - Land</t>
  </si>
  <si>
    <t>Throughout all the study area, there is evidence of large quantities of plastic entering storm drains.</t>
  </si>
  <si>
    <r>
      <t xml:space="preserve">In the majority of the study area, there is evidence of large quantities of plastic entering storm drains </t>
    </r>
    <r>
      <rPr>
        <b/>
        <sz val="10"/>
        <color theme="1"/>
        <rFont val="Arial"/>
        <family val="2"/>
      </rPr>
      <t>AND</t>
    </r>
    <r>
      <rPr>
        <sz val="10"/>
        <color theme="1"/>
        <rFont val="Arial"/>
        <family val="2"/>
      </rPr>
      <t xml:space="preserve"> the majority of storm drains are cleaned regularly (several times a year).</t>
    </r>
  </si>
  <si>
    <t>In the majority of the study area, there is evidence of large quantities of plastic entering storm drains.</t>
  </si>
  <si>
    <r>
      <t xml:space="preserve">In the majority of the study area, there is evidence of small quantities of plastic entering storm drains although a minority of areas show evidence of large quantities </t>
    </r>
    <r>
      <rPr>
        <b/>
        <sz val="10"/>
        <color theme="1"/>
        <rFont val="Arial"/>
        <family val="2"/>
      </rPr>
      <t>AND</t>
    </r>
    <r>
      <rPr>
        <sz val="10"/>
        <color theme="1"/>
        <rFont val="Arial"/>
        <family val="2"/>
      </rPr>
      <t xml:space="preserve"> a large amount of drains are cleaned once to twice a year</t>
    </r>
  </si>
  <si>
    <t>In the majority of the study area, there is evidence of small quantities of plastic entering storm drains although a minority of areas show evidence of large quantities.</t>
  </si>
  <si>
    <r>
      <t xml:space="preserve">Throughout all the study area, there is evidence of small quantities of plastic entering storm drains </t>
    </r>
    <r>
      <rPr>
        <b/>
        <sz val="10"/>
        <color theme="1"/>
        <rFont val="Arial"/>
        <family val="2"/>
      </rPr>
      <t xml:space="preserve">AND </t>
    </r>
    <r>
      <rPr>
        <sz val="10"/>
        <color theme="1"/>
        <rFont val="Arial"/>
        <family val="2"/>
      </rPr>
      <t>a small amount of drains are cleaned once to twice a year.</t>
    </r>
  </si>
  <si>
    <t>Throughout all the study area, there is evidence of small quantities of plastic entering storm drains.</t>
  </si>
  <si>
    <r>
      <t xml:space="preserve">In a minority of the study area, there is evidence of small quantities of plastic entering storm drains but the majority of areas show little to no evidence </t>
    </r>
    <r>
      <rPr>
        <b/>
        <sz val="10"/>
        <color theme="1"/>
        <rFont val="Arial"/>
        <family val="2"/>
      </rPr>
      <t xml:space="preserve">AND </t>
    </r>
    <r>
      <rPr>
        <sz val="10"/>
        <color theme="1"/>
        <rFont val="Arial"/>
        <family val="2"/>
      </rPr>
      <t>a small amount of drains are cleaned once per year.</t>
    </r>
  </si>
  <si>
    <r>
      <t xml:space="preserve">In a minority of the study area, there is evidence of small quantities of plastic entering storm drains but the majority of areas show little to no evidence </t>
    </r>
    <r>
      <rPr>
        <b/>
        <sz val="10"/>
        <color theme="1"/>
        <rFont val="Arial"/>
        <family val="2"/>
      </rPr>
      <t>AND</t>
    </r>
    <r>
      <rPr>
        <sz val="10"/>
        <color theme="1"/>
        <rFont val="Arial"/>
        <family val="2"/>
      </rPr>
      <t xml:space="preserve"> there is no active street sweeping that may be collecting any waste leaked to land.</t>
    </r>
  </si>
  <si>
    <r>
      <t xml:space="preserve">Throughout all the study area, there is no evidence of plastic entering storm drains </t>
    </r>
    <r>
      <rPr>
        <b/>
        <sz val="10"/>
        <color theme="1"/>
        <rFont val="Arial"/>
        <family val="2"/>
      </rPr>
      <t>AND t</t>
    </r>
    <r>
      <rPr>
        <sz val="10"/>
        <color theme="1"/>
        <rFont val="Arial"/>
        <family val="2"/>
      </rPr>
      <t>here is no active street sweeping that may be collecting any waste leaked to land.</t>
    </r>
  </si>
  <si>
    <t>Table 29: Level of diffuse leakage to drains</t>
  </si>
  <si>
    <t>Table 30: Level of diffuse leakage to water</t>
  </si>
  <si>
    <t>Diffuse voluntary - Water</t>
  </si>
  <si>
    <t>Almost all of the study area is in close proximity (&lt;1 km) to water systems. Vegetation on the banks of the water systems is very sparse throughout the majority of the study area.</t>
  </si>
  <si>
    <t>The majority of the study area is in close proximity (&lt;1 km) to water systems. Vegetation on the banks of the water systems is sparse throughout large parts of the study area.</t>
  </si>
  <si>
    <t>The majority of the study area is in close proximity (&lt;1 km) to water systems. Vegetation on the banks of the water systems is dense throughout large parts of the study area.</t>
  </si>
  <si>
    <t>The majority of the study area is not in close proximity (&gt;1 km) to water systems. Vegetation on the banks of the water systems is sparse throughout large parts of the study area.</t>
  </si>
  <si>
    <t>The majority of the study area is not in close proximity (&gt;1 km) to water systems. Vegetation on the banks of the water systems is dense throughout large parts of the study area.</t>
  </si>
  <si>
    <t>All of the study area is not in close proximity (&gt;1 km) to water systems. Vegetation on the banks of the water systems is very dense throughout the majority of the study area.</t>
  </si>
  <si>
    <t xml:space="preserve">The leakage type “point source voluntary” represents plastic rejects which are burnt or dumped to the environment from sorting facilities as a disposal option. This includes both formal and informal sorting facilities, although the latter only applies for the informal service chain due to leakages from the value-chain sorting occurring at the point of collection and therefore typically being diffuse. In assessing the fate of sorting rejects, observations should aim to differentiate dumped waste from that which has involuntarily escaped. Observations should be conducted in the immediate vicinity of the sorting facilities up to a distance estimated to be that at which dumping from that facility is no longer likely to occur. If there are multiple sorting facilities, observations should be conducted outside as many as possible, with the description then chosen which best matches the average situation. </t>
  </si>
  <si>
    <t>There is evidence that the majority of sorting facilities routinely burn their sorting rejects, with it believed to be the primary means of disposal.</t>
  </si>
  <si>
    <t>There is evidence that the majority of sorting facilities routinely burn their sorting rejects, with it believed to be a major but not primary means of disposal.</t>
  </si>
  <si>
    <t>There is evidence that a majority of sorting facilities may occasionally burn their sorting rejects, but this is not believed to be the primary means of disposal.</t>
  </si>
  <si>
    <t>There is sporadic evidence that a minority of sorting facilities may regularly burn their sorting rejects, but this is not believed to be the primary means of disposal for the majority.</t>
  </si>
  <si>
    <t>There is sporadic evidence that a minority of sorting facilities may occasionally burn their sorting rejects, but this is believed to be a rare occurrence.</t>
  </si>
  <si>
    <t>There is no evidence of sorting facilities openly burning their sorting rejects.</t>
  </si>
  <si>
    <t>Table 31: Level of point source open burning</t>
  </si>
  <si>
    <t>Point source voluntary - Open burning</t>
  </si>
  <si>
    <t>There is evidence that sorting facilities dump the vast majority of their sorting rejects to land, with it believed to be the primary means of disposal.</t>
  </si>
  <si>
    <r>
      <t xml:space="preserve">There is evidence that sorting facilities routinely dump their sorting rejects to land </t>
    </r>
    <r>
      <rPr>
        <b/>
        <sz val="10"/>
        <color theme="1"/>
        <rFont val="Arial"/>
        <family val="2"/>
      </rPr>
      <t>AND</t>
    </r>
    <r>
      <rPr>
        <sz val="10"/>
        <color theme="1"/>
        <rFont val="Arial"/>
        <family val="2"/>
      </rPr>
      <t xml:space="preserve"> regular street sweeping occurs in the vicinity of the sorting facilities.</t>
    </r>
  </si>
  <si>
    <t>There is evidence that sorting facilities routinely dump their sorting rejects to land, with it believed to be an important means of disposal.</t>
  </si>
  <si>
    <r>
      <t>There is evidence that sorting facilities may regularly dump their sorting rejects to land</t>
    </r>
    <r>
      <rPr>
        <b/>
        <sz val="10"/>
        <color theme="1"/>
        <rFont val="Arial"/>
        <family val="2"/>
      </rPr>
      <t xml:space="preserve"> AND</t>
    </r>
    <r>
      <rPr>
        <sz val="10"/>
        <color theme="1"/>
        <rFont val="Arial"/>
        <family val="2"/>
      </rPr>
      <t xml:space="preserve"> regular street sweeping occurs in the vicinity of the sorting facilities.</t>
    </r>
  </si>
  <si>
    <t>There is evidence that sorting facilities may regularly dump their sorting rejects to land, but this is not believed to be the primary means of disposal.</t>
  </si>
  <si>
    <r>
      <t>There is sporadic evidence that a minority of sorting facilities may regularly dump their waste to land</t>
    </r>
    <r>
      <rPr>
        <b/>
        <sz val="10"/>
        <color theme="1"/>
        <rFont val="Arial"/>
        <family val="2"/>
      </rPr>
      <t xml:space="preserve"> AND</t>
    </r>
    <r>
      <rPr>
        <sz val="10"/>
        <color theme="1"/>
        <rFont val="Arial"/>
        <family val="2"/>
      </rPr>
      <t xml:space="preserve"> occasional street sweeping occurs in the vicinity of the sorting facilities.</t>
    </r>
  </si>
  <si>
    <t>There is sporadic evidence that a minority of sorting facilities may regularly dump their sorting rejects to land, but this is not believed to be the primary means of disposal for the majority.</t>
  </si>
  <si>
    <t>There is no active street sweeping within the vicinity of the sorting facilities that may be collecting any waste dumped to land.</t>
  </si>
  <si>
    <t>There is sporadic evidence that a minority of sorting facilities may occasionally dump their sorting rejects to land, but this is believed to be a rare occurrence.</t>
  </si>
  <si>
    <t>There is no evidence of sorting facilities dumping their sorting rejects to land.</t>
  </si>
  <si>
    <t>Table 32: Level of point source dumping to land</t>
  </si>
  <si>
    <t>Point source voluntary - Land</t>
  </si>
  <si>
    <t>There is evidence that the majority of the sorting facilities routinely dump their sorting rejects to drains, with it believed to be the primary means of disposal for many.</t>
  </si>
  <si>
    <r>
      <t>There is evidence that many of the sorting facilities routinely dump their sorting rejects to drains, with it believed to be the primary means of disposal for a minority of sorting facilities</t>
    </r>
    <r>
      <rPr>
        <b/>
        <sz val="10"/>
        <color theme="1"/>
        <rFont val="Arial"/>
        <family val="2"/>
      </rPr>
      <t xml:space="preserve"> AND </t>
    </r>
    <r>
      <rPr>
        <sz val="10"/>
        <color theme="1"/>
        <rFont val="Arial"/>
        <family val="2"/>
      </rPr>
      <t>regular cleaning of the drains occurs in the vicinity of the sorting facilities.</t>
    </r>
  </si>
  <si>
    <t>There is evidence that many of the sorting facilities routinely dump their sorting rejects to drains, with it believed to be the primary means of disposal for a minority of sorting facilities.</t>
  </si>
  <si>
    <r>
      <t xml:space="preserve">There is evidence that many sorting facilities may regularly dump their sorting rejects to drains, but this is not believed to be the primary means of disposal </t>
    </r>
    <r>
      <rPr>
        <b/>
        <sz val="10"/>
        <color theme="1"/>
        <rFont val="Arial"/>
        <family val="2"/>
      </rPr>
      <t>AND</t>
    </r>
    <r>
      <rPr>
        <sz val="10"/>
        <color theme="1"/>
        <rFont val="Arial"/>
        <family val="2"/>
      </rPr>
      <t xml:space="preserve"> regular cleaning of the drains occurs in the vicinity of the sorting facilities.</t>
    </r>
  </si>
  <si>
    <t>There is evidence that many of the sorting facilities may regularly dump their sorting rejects to drains, but this is not believed to be the primary means of disposal for any sorting facilities.</t>
  </si>
  <si>
    <r>
      <t>There is sporadic evidence that a minority of sorting facilities may regularly dump their sorting rejects to drains</t>
    </r>
    <r>
      <rPr>
        <b/>
        <sz val="10"/>
        <color theme="1"/>
        <rFont val="Arial"/>
        <family val="2"/>
      </rPr>
      <t xml:space="preserve"> AND</t>
    </r>
    <r>
      <rPr>
        <sz val="10"/>
        <color theme="1"/>
        <rFont val="Arial"/>
        <family val="2"/>
      </rPr>
      <t xml:space="preserve"> occasional cleaning of the drains occurs in vicinity of the sorting facilities.</t>
    </r>
  </si>
  <si>
    <r>
      <t xml:space="preserve">There is sporadic evidence that a minority of sorting facilities may regularly dump their sorting rejects to drains </t>
    </r>
    <r>
      <rPr>
        <b/>
        <sz val="10"/>
        <color theme="1"/>
        <rFont val="Arial"/>
        <family val="2"/>
      </rPr>
      <t>AND</t>
    </r>
    <r>
      <rPr>
        <sz val="10"/>
        <color theme="1"/>
        <rFont val="Arial"/>
        <family val="2"/>
      </rPr>
      <t xml:space="preserve"> there is no active cleaning of the drains within the vicinity of the sorting facilities that may be collecting any waste dumped to drains.</t>
    </r>
  </si>
  <si>
    <r>
      <t xml:space="preserve">There is sporadic evidence that a minority of sorting facilities may occasionally dump their sorting rejects to drains, but this is believed to be infrequent </t>
    </r>
    <r>
      <rPr>
        <b/>
        <sz val="10"/>
        <color theme="1"/>
        <rFont val="Arial"/>
        <family val="2"/>
      </rPr>
      <t>AND</t>
    </r>
    <r>
      <rPr>
        <sz val="10"/>
        <color theme="1"/>
        <rFont val="Arial"/>
        <family val="2"/>
      </rPr>
      <t xml:space="preserve"> there is no active cleaning of the drains within the vicinity of the sorting facilities that may be collecting any waste dumped to drains.</t>
    </r>
  </si>
  <si>
    <r>
      <t xml:space="preserve">There is no evidence of sorting facilities dumping sorting rejects to drains </t>
    </r>
    <r>
      <rPr>
        <b/>
        <sz val="10"/>
        <color theme="1"/>
        <rFont val="Arial"/>
        <family val="2"/>
      </rPr>
      <t xml:space="preserve">AND </t>
    </r>
    <r>
      <rPr>
        <sz val="10"/>
        <color theme="1"/>
        <rFont val="Arial"/>
        <family val="2"/>
      </rPr>
      <t>there is no active cleaning of the drains within the vicinity that may be collecting any waste dumped to drains.</t>
    </r>
  </si>
  <si>
    <t>Table 33: Level of point source dumping in drains</t>
  </si>
  <si>
    <t>Point source voluntary - Drains</t>
  </si>
  <si>
    <t>Almost all of the sorting facilities are in close proximity (&lt;500 m) to water systems of which they have access.</t>
  </si>
  <si>
    <t>The majority of sorting facilities are in close proximity (&lt;500 m) to water systems of which they have access.</t>
  </si>
  <si>
    <t>Around half of sorting facilities are in close proximity (&lt;500 m) to water systems of which they have access.</t>
  </si>
  <si>
    <t>A minority of sorting facilities are in close proximity (&lt;500 m) to water systems of which they have access.</t>
  </si>
  <si>
    <t>Very few sorting facilities are in close proximity (&lt;500 m) to water systems of which they have access.</t>
  </si>
  <si>
    <t xml:space="preserve">There are no sorting facilities in close proximity (&lt;500 m) to water systems or access to such water systems is not possible. </t>
  </si>
  <si>
    <t>Table 34: Level of diffuse dumping in water systems</t>
  </si>
  <si>
    <t>Point source voluntary - Water</t>
  </si>
  <si>
    <t>In the vicinity of the point sources, there is evidence of large quantities of plastic remaining on land (including that caught in vegetation).</t>
  </si>
  <si>
    <r>
      <t xml:space="preserve">In the vicinity of the point sources, there is evidence of large quantities of plastic remaining on land (including that caught in vegetation) </t>
    </r>
    <r>
      <rPr>
        <b/>
        <sz val="10"/>
        <color theme="1"/>
        <rFont val="Arial"/>
        <family val="2"/>
      </rPr>
      <t>AND</t>
    </r>
    <r>
      <rPr>
        <sz val="10"/>
        <color theme="1"/>
        <rFont val="Arial"/>
        <family val="2"/>
      </rPr>
      <t xml:space="preserve"> regular street sweeping occurs.</t>
    </r>
  </si>
  <si>
    <r>
      <t xml:space="preserve">In the vicinity of the point sources, there is evidence of small quantities of plastic remaining on land (including that caught in vegetation) </t>
    </r>
    <r>
      <rPr>
        <b/>
        <sz val="10"/>
        <color theme="1"/>
        <rFont val="Arial"/>
        <family val="2"/>
      </rPr>
      <t>AND</t>
    </r>
    <r>
      <rPr>
        <sz val="10"/>
        <color theme="1"/>
        <rFont val="Arial"/>
        <family val="2"/>
      </rPr>
      <t xml:space="preserve"> occasional street sweeping occurs.</t>
    </r>
  </si>
  <si>
    <t>In the vicinity of the point sources, there is evidence of small quantities of plastic remaining on land (including that caught in vegetation) although some areas show evidence of large quantities.</t>
  </si>
  <si>
    <r>
      <t xml:space="preserve">In the vicinity of the point sources, there is evidence of small quantities of plastic remaining on land (including that caught in vegetation) </t>
    </r>
    <r>
      <rPr>
        <b/>
        <sz val="10"/>
        <color theme="1"/>
        <rFont val="Arial"/>
        <family val="2"/>
      </rPr>
      <t>AND</t>
    </r>
    <r>
      <rPr>
        <sz val="10"/>
        <color theme="1"/>
        <rFont val="Arial"/>
        <family val="2"/>
      </rPr>
      <t xml:space="preserve"> infrequent street sweeping occurs.</t>
    </r>
  </si>
  <si>
    <t>In the vicinity of the point sources, there is evidence of small quantities of plastic remaining on land (including that caught in vegetation).</t>
  </si>
  <si>
    <r>
      <t xml:space="preserve">In the vicinity of the point sources, there is evidence of small quantities of plastic remaining on land (including that caught in vegetation) but the majority of area show little to no evidence </t>
    </r>
    <r>
      <rPr>
        <b/>
        <sz val="10"/>
        <color theme="1"/>
        <rFont val="Arial"/>
        <family val="2"/>
      </rPr>
      <t xml:space="preserve">AND </t>
    </r>
    <r>
      <rPr>
        <sz val="10"/>
        <color theme="1"/>
        <rFont val="Arial"/>
        <family val="2"/>
      </rPr>
      <t>very</t>
    </r>
    <r>
      <rPr>
        <b/>
        <sz val="10"/>
        <color theme="1"/>
        <rFont val="Arial"/>
        <family val="2"/>
      </rPr>
      <t xml:space="preserve"> </t>
    </r>
    <r>
      <rPr>
        <sz val="10"/>
        <color theme="1"/>
        <rFont val="Arial"/>
        <family val="2"/>
      </rPr>
      <t>infrequent street sweeping occurs.</t>
    </r>
  </si>
  <si>
    <r>
      <t xml:space="preserve">In the vicinity of the point sources, there is evidence of small quantities of plastic remaining on land (including that caught in vegetation) but the majority of areas show little to no evidence </t>
    </r>
    <r>
      <rPr>
        <b/>
        <sz val="10"/>
        <color theme="1"/>
        <rFont val="Arial"/>
        <family val="2"/>
      </rPr>
      <t>AND</t>
    </r>
    <r>
      <rPr>
        <sz val="10"/>
        <color theme="1"/>
        <rFont val="Arial"/>
        <family val="2"/>
      </rPr>
      <t xml:space="preserve"> there is no active street sweeping that may be collecting any waste leaked to land.</t>
    </r>
  </si>
  <si>
    <r>
      <t xml:space="preserve">In the vicinity of the point sources, there is no evidence of plastic remaining on land (including that caught in vegetation) </t>
    </r>
    <r>
      <rPr>
        <b/>
        <sz val="10"/>
        <color theme="1"/>
        <rFont val="Arial"/>
        <family val="2"/>
      </rPr>
      <t>AND t</t>
    </r>
    <r>
      <rPr>
        <sz val="10"/>
        <color theme="1"/>
        <rFont val="Arial"/>
        <family val="2"/>
      </rPr>
      <t>here is no active street sweeping that may be collecting any waste leaked to land.</t>
    </r>
  </si>
  <si>
    <t>Table 35: Level of point source leakage to land</t>
  </si>
  <si>
    <t>Point source involuntary - Land</t>
  </si>
  <si>
    <t>In the vicinity of the point sources, there is evidence of large quantities of plastic entering storm drains.</t>
  </si>
  <si>
    <r>
      <t xml:space="preserve">In the vicinity of the point sources, there is evidence of large quantities of plastic entering storm drains </t>
    </r>
    <r>
      <rPr>
        <b/>
        <sz val="10"/>
        <color theme="1"/>
        <rFont val="Arial"/>
        <family val="2"/>
      </rPr>
      <t>AND</t>
    </r>
    <r>
      <rPr>
        <sz val="10"/>
        <color theme="1"/>
        <rFont val="Arial"/>
        <family val="2"/>
      </rPr>
      <t xml:space="preserve"> the majority of storm drains are cleaned regularly (several times a year).</t>
    </r>
  </si>
  <si>
    <r>
      <t xml:space="preserve">In the vicinity of the point sources, there is evidence of small quantities of plastic entering storm drains although a minority of areas show evidence of large quantities </t>
    </r>
    <r>
      <rPr>
        <b/>
        <sz val="10"/>
        <color theme="1"/>
        <rFont val="Arial"/>
        <family val="2"/>
      </rPr>
      <t>AND</t>
    </r>
    <r>
      <rPr>
        <sz val="10"/>
        <color theme="1"/>
        <rFont val="Arial"/>
        <family val="2"/>
      </rPr>
      <t xml:space="preserve"> a large amount of drains are cleaned once to twice a year</t>
    </r>
  </si>
  <si>
    <t>In the vicinity of the point sources, there is evidence of small quantities of plastic entering storm drains although a minority of areas show evidence of large quantities.</t>
  </si>
  <si>
    <r>
      <t xml:space="preserve">In the vicinity of the point sources, there is evidence of small quantities of plastic entering storm drains </t>
    </r>
    <r>
      <rPr>
        <b/>
        <sz val="10"/>
        <color theme="1"/>
        <rFont val="Arial"/>
        <family val="2"/>
      </rPr>
      <t xml:space="preserve">AND </t>
    </r>
    <r>
      <rPr>
        <sz val="10"/>
        <color theme="1"/>
        <rFont val="Arial"/>
        <family val="2"/>
      </rPr>
      <t>a small amount of drains are cleaned once to twice a year.</t>
    </r>
  </si>
  <si>
    <t>In the vicinity of the point sources, there is evidence of small quantities of plastic entering storm drains.</t>
  </si>
  <si>
    <r>
      <t xml:space="preserve">In the vicinity of the point sources, there is evidence of small quantities of plastic entering storm drains but the majority of areas show little to no evidence </t>
    </r>
    <r>
      <rPr>
        <b/>
        <sz val="10"/>
        <color theme="1"/>
        <rFont val="Arial"/>
        <family val="2"/>
      </rPr>
      <t xml:space="preserve">AND </t>
    </r>
    <r>
      <rPr>
        <sz val="10"/>
        <color theme="1"/>
        <rFont val="Arial"/>
        <family val="2"/>
      </rPr>
      <t>a small amount of drains are cleaned once per year.</t>
    </r>
  </si>
  <si>
    <r>
      <t xml:space="preserve">In the vicinity of the point sources, there is evidence of small quantities of plastic entering storm drains but the majority of areas show little to no evidence </t>
    </r>
    <r>
      <rPr>
        <b/>
        <sz val="10"/>
        <color theme="1"/>
        <rFont val="Arial"/>
        <family val="2"/>
      </rPr>
      <t>AND</t>
    </r>
    <r>
      <rPr>
        <sz val="10"/>
        <color theme="1"/>
        <rFont val="Arial"/>
        <family val="2"/>
      </rPr>
      <t xml:space="preserve"> there is no active street sweeping that may be collecting any waste leaked to land.</t>
    </r>
  </si>
  <si>
    <r>
      <t xml:space="preserve">In the vicinity of the point sources, there is no evidence of plastic entering storm drains </t>
    </r>
    <r>
      <rPr>
        <b/>
        <sz val="10"/>
        <color theme="1"/>
        <rFont val="Arial"/>
        <family val="2"/>
      </rPr>
      <t>AND t</t>
    </r>
    <r>
      <rPr>
        <sz val="10"/>
        <color theme="1"/>
        <rFont val="Arial"/>
        <family val="2"/>
      </rPr>
      <t>here is no active street sweeping that may be collecting any waste leaked to land.</t>
    </r>
  </si>
  <si>
    <t>Table 36: Level of point source leakage to drains</t>
  </si>
  <si>
    <t>Point source involuntary - Drains</t>
  </si>
  <si>
    <t>Table 37: Level of diffuse leakage to water</t>
  </si>
  <si>
    <t>Point source involuntary - Water</t>
  </si>
  <si>
    <t>Almost all of the point sources are in close proximity (&lt;1 km) to water systems. Vegetation on the banks of the water systems is very sparse.</t>
  </si>
  <si>
    <t>The majority of the point sources are in close proximity (&lt;1 km) to water systems. Vegetation on the banks of the water systems is sparse.</t>
  </si>
  <si>
    <t>The majority of the point sources are in close proximity (&lt;1 km) to water systems. Vegetation on the banks of the water systems is dense.</t>
  </si>
  <si>
    <t>The majority of the point sources are not in close proximity (&gt;1 km) to water systems. Vegetation on the banks of the water systems is sparse.</t>
  </si>
  <si>
    <t>The majority of the point sources are not in close proximity (&gt;1 km) to water systems. Vegetation on the banks of the water systems is dense.</t>
  </si>
  <si>
    <t>All of the point sources are not in close proximity (&gt;1 km) to water systems. Vegetation on the banks of the water systems is very dense.</t>
  </si>
  <si>
    <t>Hyperlink</t>
  </si>
  <si>
    <t>Please refer to the "Leakage from informal collection" leakage decision tree within the user manual or quick reference guide to allocate a value based on the descriptions given.</t>
  </si>
  <si>
    <t>Please refer to the "Leakage from informal sorting" leakage decision tree within the user manual or quick reference guide to allocate a value based on the descriptions given.</t>
  </si>
  <si>
    <t>Please refer to the "Leakage from transportation" leakage decision tree within the user manual or quick reference guide to allocate a value based on the descriptions given.</t>
  </si>
  <si>
    <t>Please refer to the "Leakage from disposal" leakage decision tree within the user manual or quick reference guide to allocate a value based on the descriptions given.</t>
  </si>
  <si>
    <t>Please refer to the "drain retention" leakage decision tree within the user manual or quick reference guide to allocate a value based on the descriptions given.</t>
  </si>
  <si>
    <t xml:space="preserve">Please refer to the "Diffuse voluntary" fate decision tree within the user manual or quick reference guide to allocate a value based on the descriptions given. </t>
  </si>
  <si>
    <t>Please refer to the "Diffuse involuntary" fate decision tree within the user manual or quick reference guide to allocate a value based on the descriptions given.</t>
  </si>
  <si>
    <t>Please refer to the "Point-source involuntary" fate decision tree within the user manual or quick reference guide to allocate a value based on the descriptions given.</t>
  </si>
  <si>
    <t xml:space="preserve">Please refer to the "Leakage from collection services" leakage decision tree within the user manual or quick reference guide to allocate a value based on the descriptions given. </t>
  </si>
  <si>
    <t>Please refer to the "Leakage from collection services" leakage decision tree within the user manual or quick reference guide to allocate a value based on the descriptions given.</t>
  </si>
  <si>
    <t>Please refer to the "Leakage from formal sorting" leakage decision tree within the user manual or quick reference guide to allocate a value based on the descriptions given.</t>
  </si>
  <si>
    <t>Table 27: Level of diffuse dumping in water systems</t>
  </si>
  <si>
    <t xml:space="preserve">  Waste Flow Diagram</t>
  </si>
  <si>
    <t>Recommended Citation:</t>
  </si>
  <si>
    <t>GIZ, University of Leeds, Eawag-Sandec, Wasteaware (2020). Toolkit: Waste Flow Diagram (WFD): A rapid assessment tool for mapping waste flows and quantifying plastic leakage. Version 1.0. February 2020. Principal Investigator: Velis C.A. Research team: Cottom J., Zabaleta I., Zurbruegg C., Stretz J. and Blume S. Zurich, Switzerland and Leeds, UK. Obtain from: plasticpollution.leeds.ac.uk  </t>
  </si>
  <si>
    <t>3 The course “Municipal Solid Waste Management in Developing Countries” is available for free on the learning platform Coursera: www.coursera.org/learn/solid-waste-management</t>
  </si>
  <si>
    <r>
      <rPr>
        <b/>
        <sz val="12"/>
        <color theme="1"/>
        <rFont val="Calibri"/>
        <family val="2"/>
        <scheme val="minor"/>
      </rPr>
      <t>Target audience</t>
    </r>
    <r>
      <rPr>
        <sz val="12"/>
        <color theme="1"/>
        <rFont val="Calibri"/>
        <family val="2"/>
        <scheme val="minor"/>
      </rPr>
      <t xml:space="preserve">
The WFD is inteded for use by  individuals or organisations, such as:
• Local authorities wanting to understand waste flows within municipal solid waste management systems, estimate amounts of plastic leakage into the environment, and identify crucial areas to invest in their solid waste management infrastructure.
• Development and donor agencies supporting capacity development and funding for solid waste management to improve the understanding of project impacts.
• Non-Governmental Organisations (NGOs) and civil-society organisations wanting to make an improvement in the solid waste sector.
• Entrepreneurs and private investors intending to set up waste collection, treatment or disposal activities as a business venture or social enterprise.
• Any stakeholder, public, private, organisations or individuals concerned with solid waste management and plastic pollution.</t>
    </r>
  </si>
  <si>
    <r>
      <rPr>
        <vertAlign val="superscript"/>
        <sz val="12"/>
        <color theme="10"/>
        <rFont val="Calibri"/>
        <family val="2"/>
        <scheme val="minor"/>
      </rPr>
      <t>1</t>
    </r>
    <r>
      <rPr>
        <sz val="12"/>
        <color theme="10"/>
        <rFont val="Calibri"/>
        <family val="2"/>
        <scheme val="minor"/>
      </rPr>
      <t xml:space="preserve"> the user manual that accompanies this Waste Flow Diagram tool is available at: http://plasticpollution.leeds.ac.uk</t>
    </r>
  </si>
  <si>
    <r>
      <rPr>
        <vertAlign val="superscript"/>
        <sz val="12"/>
        <color theme="10"/>
        <rFont val="Calibri"/>
        <family val="2"/>
        <scheme val="minor"/>
      </rPr>
      <t>2</t>
    </r>
    <r>
      <rPr>
        <sz val="12"/>
        <color theme="10"/>
        <rFont val="Calibri"/>
        <family val="2"/>
        <scheme val="minor"/>
      </rPr>
      <t xml:space="preserve"> Online video guides for the Waste Flow Diagram tool are available at: http://plasticpollution.leeds.ac.uk</t>
    </r>
  </si>
  <si>
    <t>References:</t>
  </si>
  <si>
    <r>
      <rPr>
        <b/>
        <sz val="12"/>
        <color theme="1"/>
        <rFont val="Calibri"/>
        <family val="2"/>
        <scheme val="minor"/>
      </rPr>
      <t>User Requirements</t>
    </r>
    <r>
      <rPr>
        <sz val="12"/>
        <color theme="1"/>
        <rFont val="Calibri"/>
        <family val="2"/>
        <scheme val="minor"/>
      </rPr>
      <t xml:space="preserve">
Although, the WFD tries to avoid complicated calculations, software or complex statistics, some basic mathematical operations are required. All calculations can be conducted with any conventional spreadsheet software (e.g. Excel) or a calculator. In order to successfully apply this model, however, it is recommended to appoint users with substantial waste management experience. Further guidance and training is available through the user manual</t>
    </r>
    <r>
      <rPr>
        <vertAlign val="superscript"/>
        <sz val="12"/>
        <color theme="1"/>
        <rFont val="Calibri"/>
        <family val="2"/>
        <scheme val="minor"/>
      </rPr>
      <t>1</t>
    </r>
    <r>
      <rPr>
        <sz val="12"/>
        <color theme="1"/>
        <rFont val="Calibri"/>
        <family val="2"/>
        <scheme val="minor"/>
      </rPr>
      <t>, online training package</t>
    </r>
    <r>
      <rPr>
        <vertAlign val="superscript"/>
        <sz val="12"/>
        <color theme="1"/>
        <rFont val="Calibri"/>
        <family val="2"/>
        <scheme val="minor"/>
      </rPr>
      <t>2</t>
    </r>
    <r>
      <rPr>
        <sz val="12"/>
        <color theme="1"/>
        <rFont val="Calibri"/>
        <family val="2"/>
        <scheme val="minor"/>
      </rPr>
      <t xml:space="preserve"> and Municipal Solid Waste Manangementin Developing Countries online courses</t>
    </r>
    <r>
      <rPr>
        <vertAlign val="superscript"/>
        <sz val="12"/>
        <color theme="1"/>
        <rFont val="Calibri"/>
        <family val="2"/>
        <scheme val="minor"/>
      </rPr>
      <t>3</t>
    </r>
    <r>
      <rPr>
        <sz val="12"/>
        <color theme="1"/>
        <rFont val="Calibri"/>
        <family val="2"/>
        <scheme val="minor"/>
      </rPr>
      <t>.
To use the tool, the user needs to insert data on the municipal solid waste management of the locality under assessment. Cities and towns without updated and reliable waste data are encouraged to conduct primary data collection exercises, for which the methodology of SDG indicator 11.6.1 (“measurement of total municipal solid waste generated, collected and managed in controlled facilities") is strongly recommended</t>
    </r>
    <r>
      <rPr>
        <vertAlign val="superscript"/>
        <sz val="12"/>
        <color theme="1"/>
        <rFont val="Calibri"/>
        <family val="2"/>
        <scheme val="minor"/>
      </rPr>
      <t>4</t>
    </r>
    <r>
      <rPr>
        <sz val="12"/>
        <color theme="1"/>
        <rFont val="Calibri"/>
        <family val="2"/>
        <scheme val="minor"/>
      </rPr>
      <t xml:space="preserve">. The WFD tool is designed to directly integrate with this methodology.
</t>
    </r>
  </si>
  <si>
    <r>
      <rPr>
        <b/>
        <sz val="12"/>
        <color theme="1"/>
        <rFont val="Calibri"/>
        <family val="2"/>
        <scheme val="minor"/>
      </rPr>
      <t>Introduction</t>
    </r>
    <r>
      <rPr>
        <sz val="12"/>
        <color theme="1"/>
        <rFont val="Calibri"/>
        <family val="2"/>
        <scheme val="minor"/>
      </rPr>
      <t xml:space="preserve">
The </t>
    </r>
    <r>
      <rPr>
        <b/>
        <sz val="12"/>
        <color theme="1"/>
        <rFont val="Calibri"/>
        <family val="2"/>
        <scheme val="minor"/>
      </rPr>
      <t>Waste Flow Diagram (WFD)</t>
    </r>
    <r>
      <rPr>
        <sz val="12"/>
        <color theme="1"/>
        <rFont val="Calibri"/>
        <family val="2"/>
        <scheme val="minor"/>
      </rPr>
      <t xml:space="preserve"> was developed through a collaboration between GIZ, the University of Leeds, Eawag and Wasteaware. The aim of the WFD is to provide a rapid assessment methodology for mapping the flows of macro waste in a municipal solid waste management system at the city or municipality level, including quantifying the sources and fate of any plastic pollution. This aim can be summarized into six objectives:
</t>
    </r>
    <r>
      <rPr>
        <b/>
        <sz val="12"/>
        <color theme="1"/>
        <rFont val="Calibri"/>
        <family val="2"/>
        <scheme val="minor"/>
      </rPr>
      <t>1.</t>
    </r>
    <r>
      <rPr>
        <sz val="12"/>
        <color theme="1"/>
        <rFont val="Calibri"/>
        <family val="2"/>
        <scheme val="minor"/>
      </rPr>
      <t xml:space="preserve"> To provide a rapid assessment of a cities or municipalities municipal solid waste management system and visualize the flows of waste, including informing the SDG 11.6.1 sub-indicators.
</t>
    </r>
    <r>
      <rPr>
        <b/>
        <sz val="12"/>
        <color theme="1"/>
        <rFont val="Calibri"/>
        <family val="2"/>
        <scheme val="minor"/>
      </rPr>
      <t>2.</t>
    </r>
    <r>
      <rPr>
        <sz val="12"/>
        <color theme="1"/>
        <rFont val="Calibri"/>
        <family val="2"/>
        <scheme val="minor"/>
      </rPr>
      <t xml:space="preserve"> To use observational based assessments to quantify the sources of plastic leakage into the environment from the municipal solid waste management system, and determine the eventual fate of this uncontrolled waste. 
</t>
    </r>
    <r>
      <rPr>
        <b/>
        <sz val="12"/>
        <color theme="1"/>
        <rFont val="Calibri"/>
        <family val="2"/>
        <scheme val="minor"/>
      </rPr>
      <t>3.</t>
    </r>
    <r>
      <rPr>
        <sz val="12"/>
        <color theme="1"/>
        <rFont val="Calibri"/>
        <family val="2"/>
        <scheme val="minor"/>
      </rPr>
      <t xml:space="preserve"> To identify the high-priority sources of plastic pollution so as to make informed interventions.
</t>
    </r>
    <r>
      <rPr>
        <b/>
        <sz val="12"/>
        <color theme="1"/>
        <rFont val="Calibri"/>
        <family val="2"/>
        <scheme val="minor"/>
      </rPr>
      <t xml:space="preserve">4. </t>
    </r>
    <r>
      <rPr>
        <sz val="12"/>
        <color theme="1"/>
        <rFont val="Calibri"/>
        <family val="2"/>
        <scheme val="minor"/>
      </rPr>
      <t xml:space="preserve">To allow benchmarking and comparison between cities. 
</t>
    </r>
    <r>
      <rPr>
        <b/>
        <sz val="12"/>
        <color theme="1"/>
        <rFont val="Calibri"/>
        <family val="2"/>
        <scheme val="minor"/>
      </rPr>
      <t>5.</t>
    </r>
    <r>
      <rPr>
        <sz val="12"/>
        <color theme="1"/>
        <rFont val="Calibri"/>
        <family val="2"/>
        <scheme val="minor"/>
      </rPr>
      <t xml:space="preserve"> To run scenarios with the aim of gaining approximate insights into how proposed interventions may impact the solid waste management system and plastic pollution.
</t>
    </r>
    <r>
      <rPr>
        <b/>
        <sz val="12"/>
        <color theme="1"/>
        <rFont val="Calibri"/>
        <family val="2"/>
        <scheme val="minor"/>
      </rPr>
      <t>6.</t>
    </r>
    <r>
      <rPr>
        <sz val="12"/>
        <color theme="1"/>
        <rFont val="Calibri"/>
        <family val="2"/>
        <scheme val="minor"/>
      </rPr>
      <t xml:space="preserve"> To quantify the effectiveness of applied interventions.
Whilst there are other ongoing initiatives with similar scope, such as the ISWA Plastic Pollution Calculator, the Waste Flow Diagram is targeted as a first-level approximation, whereby detail and accuracy of the analysis is traded for a more rapid assessment with fewer data requirements.
</t>
    </r>
  </si>
  <si>
    <t>Contribution from informal value-chain collection</t>
  </si>
  <si>
    <t>Contribution from collection service</t>
  </si>
  <si>
    <t>Contribution from formal sorting</t>
  </si>
  <si>
    <t>Contribution from informal sorting</t>
  </si>
  <si>
    <t xml:space="preserve">Contribution from transportation </t>
  </si>
  <si>
    <t>Basic Sankey Diagram Example</t>
  </si>
  <si>
    <t>(dummy data for plastics):</t>
  </si>
  <si>
    <t>Complex Sankey Diagram Example</t>
  </si>
  <si>
    <t>*Mass of 1.5 litre PET bottle: 30 g</t>
  </si>
  <si>
    <t>no. of olympic swimming pools/year**</t>
  </si>
  <si>
    <t>no. PET bottles per person/year*</t>
  </si>
  <si>
    <t>no. of waste trucks/year***</t>
  </si>
  <si>
    <r>
      <t>**Pool volume: 2,500 m</t>
    </r>
    <r>
      <rPr>
        <vertAlign val="superscript"/>
        <sz val="9"/>
        <rFont val="Calibri"/>
        <family val="2"/>
        <scheme val="minor"/>
      </rPr>
      <t>3</t>
    </r>
    <r>
      <rPr>
        <sz val="9"/>
        <rFont val="Calibri"/>
        <family val="2"/>
        <scheme val="minor"/>
      </rPr>
      <t>, Density mixed plastic waste: 34 kg/m</t>
    </r>
    <r>
      <rPr>
        <vertAlign val="superscript"/>
        <sz val="9"/>
        <rFont val="Calibri"/>
        <family val="2"/>
        <scheme val="minor"/>
      </rPr>
      <t>3</t>
    </r>
  </si>
  <si>
    <r>
      <t>***Volume truck: 20 m</t>
    </r>
    <r>
      <rPr>
        <vertAlign val="superscript"/>
        <sz val="9"/>
        <rFont val="Calibri"/>
        <family val="2"/>
        <scheme val="minor"/>
      </rPr>
      <t>3</t>
    </r>
    <r>
      <rPr>
        <sz val="9"/>
        <rFont val="Calibri"/>
        <family val="2"/>
        <scheme val="minor"/>
      </rPr>
      <t>, Density mixed plastic waste: 34 kg/m</t>
    </r>
    <r>
      <rPr>
        <vertAlign val="superscript"/>
        <sz val="9"/>
        <rFont val="Calibri"/>
        <family val="2"/>
        <scheme val="minor"/>
      </rPr>
      <t>3</t>
    </r>
  </si>
  <si>
    <t>Plastic to water systems per person</t>
  </si>
  <si>
    <t>Plastic to water systems</t>
  </si>
  <si>
    <t>% of plastic in water systems</t>
  </si>
  <si>
    <t>Plastic waste to water systems</t>
  </si>
  <si>
    <t>Contribution directly  entering water systems</t>
  </si>
  <si>
    <t>If data is unavailable on the split between the informal and formal service-chain collection, please use the percent of the study area covered by informal collection services compared to the formal sector as a proxy. See the user manual for details.</t>
  </si>
  <si>
    <t>Percent of the waste collected by the informal service chain compared to the total service-chain</t>
  </si>
  <si>
    <t>% of waste collected by all service-chain</t>
  </si>
  <si>
    <t>Do the informal collection services (service chain) separate materials for recovery?</t>
  </si>
  <si>
    <t>Materials may be separated by the informal service chain from the mixed waste they collect chain to supplement their income.</t>
  </si>
  <si>
    <t>Materials may be separated by the informal service-chain from the mixed waste they collect chain to supplement their income.</t>
  </si>
  <si>
    <t>Waste collected by collection services diverted from disposal</t>
  </si>
  <si>
    <t xml:space="preserve">go back </t>
  </si>
  <si>
    <t>go back</t>
  </si>
  <si>
    <t>Friedrich-Ebert-Allee 36 + 40</t>
  </si>
  <si>
    <t>53113 Bonn</t>
  </si>
  <si>
    <t>Germany</t>
  </si>
  <si>
    <t>T +49 228 4460 – 0</t>
  </si>
  <si>
    <t>E info@giz.de</t>
  </si>
  <si>
    <t>I www.giz.de</t>
  </si>
  <si>
    <t>Imprint</t>
  </si>
  <si>
    <t xml:space="preserve">Contacts </t>
  </si>
  <si>
    <t xml:space="preserve">C.Velis@leeds.ac.uk  and J.W.Cottom@leeds.ac.uk </t>
  </si>
  <si>
    <t>Dr. C. Zurbruegg and Imanol Zabaleta, Eawag-Sandec, Überlandstrasse 133, 8600 Dübendorf, Switzerland</t>
  </si>
  <si>
    <t xml:space="preserve">Christian.Zurbruegg@eawag.ch and Imanol.Zabaleta@eawag.ch </t>
  </si>
  <si>
    <t xml:space="preserve">steffen.blume@giz.de </t>
  </si>
  <si>
    <t>Steffen Blume, GIZ, Dag-Hammarskjöld Weg 1-5,65760 Eschborn, Germany</t>
  </si>
  <si>
    <t>joachim@wasteaware.org</t>
  </si>
  <si>
    <t>Joachim Stretz, Wasteaware Ltd., Wren House, 68 London Road, St Albans, Herts, AL11NG, UK</t>
  </si>
  <si>
    <t>Deutsche Gesellschaft für  Internationale Zusammenarbeit GmbH (GIZ)                             on behalf of</t>
  </si>
  <si>
    <t xml:space="preserve">If you you have questions or need support in application, feel free to contact the developers of the WFD: </t>
  </si>
  <si>
    <t xml:space="preserve"> Dr. C. Velis and Dr. J. Cottom, School of Civil Engineering, University of Leeds, Leeds, LS2 9JT, UK</t>
  </si>
  <si>
    <t>Trouble shooting</t>
  </si>
  <si>
    <t>Problem</t>
  </si>
  <si>
    <r>
      <rPr>
        <b/>
        <sz val="11"/>
        <rFont val="Calibri"/>
        <family val="2"/>
      </rPr>
      <t>9)</t>
    </r>
    <r>
      <rPr>
        <sz val="11"/>
        <rFont val="Calibri"/>
        <family val="2"/>
      </rPr>
      <t xml:space="preserve"> In the "Labels &amp; Units" options, uncheck the "Show labels" box. You may  add these later manually </t>
    </r>
  </si>
  <si>
    <t xml:space="preserve">Table 38: </t>
  </si>
  <si>
    <t xml:space="preserve">MSW management facilities </t>
  </si>
  <si>
    <t xml:space="preserve">Level of control in MSW management facilities </t>
  </si>
  <si>
    <t>Figure below: Ladders used to classify MSW management facilities according to their level of control (based on UN-H guide).</t>
  </si>
  <si>
    <t>Classification of recovery and disposal facilities</t>
  </si>
  <si>
    <t>Please refer to quick guide or user manual for instructions on what is to be counted as "managed in controlled facilities" and how to measure these.</t>
  </si>
  <si>
    <t xml:space="preserve">This picture below shows the system boundary regarding MSW management facilities. The WFD maps flows only until red-dotted line. Thereafter, the destination of the flows of waste is no longer specified. It is assumed that leakage occurs before. Hence facilities are physically located outside the case study areas. Amounts intended for biological or mechanical recycling or recovery, are represented by flows F8 (formal) and F9 (informal). Waste intended for energy recovery is represented by flow F10. </t>
  </si>
  <si>
    <t>Available from:</t>
  </si>
  <si>
    <t>http://plasticpollution.leeds.ac.uk</t>
  </si>
  <si>
    <t>#N/A is the error value that means "no value is available."</t>
  </si>
  <si>
    <t>Solutions</t>
  </si>
  <si>
    <t>This error may occur if some of the data inputs in the 'Value' columns are not complete</t>
  </si>
  <si>
    <t>This error may occur if data has been entered in the wrong format. For instance, numeric values entered as text.</t>
  </si>
  <si>
    <t xml:space="preserve">#N/A error </t>
  </si>
  <si>
    <t>#DIV0 error</t>
  </si>
  <si>
    <t>#DIV0 is the error value shown when trying to divide by zero.</t>
  </si>
  <si>
    <t xml:space="preserve">The error may occur when Excel converts the numbers to regional settings. The numbers must have decimal points as periods (.) and not commas (,) Please change under &gt;file&gt;&gt;settings&gt;&gt;advanced to decimal points. For more info, check also https://docs.microsoft.com/en-us/office/troubleshoot/excel/formula-errors </t>
  </si>
  <si>
    <t>This error may occur if a zero value has incorrectly being added to a cell</t>
  </si>
  <si>
    <t>Error checks show a red cross signalling an error</t>
  </si>
  <si>
    <t xml:space="preserve">The error check boxes in the flow diagram and calcualtions sheet show a red cross if there is an error in the calculations. This typically occurs due to errors in the mass balance or due to flows being calcualted as going negative. </t>
  </si>
  <si>
    <t>This error may occur if data input values are not correct, or if assumptions and approximations used in the data input are unsatisfactory to allow the mass of the system to balance. It is advised users carefully check all data inputs and analysis performed, including that of the SDG11.6.1 methodology. The calcualtions sheet shows a detailed breakdown of where the errors in the mass balance of the system occur to aid in troubleshooting.</t>
  </si>
  <si>
    <t>all MSW fractions</t>
  </si>
  <si>
    <r>
      <t xml:space="preserve">Waste sorted for recovery by formal sector
</t>
    </r>
    <r>
      <rPr>
        <i/>
        <sz val="8"/>
        <rFont val="Calibri"/>
        <family val="2"/>
        <scheme val="minor"/>
      </rPr>
      <t>(excludes energy from waste)</t>
    </r>
  </si>
  <si>
    <t>Leakage of plastic from formal sorting facilities (F14) is related to rejected plastics which might be dumped or mismanaged.</t>
  </si>
  <si>
    <t xml:space="preserve">Leakage of plastic from informal service-chain sorting (F15) is related to rejected plastics which might be dumped or mismanaged.
Informal sector activities are mainly geared towards separating and processing valuable recyclables from the waste streams. Such facilities aim at obtaining a most efficient amount of valuable materials as dictated by the recyclable markets, so sorting and processing can be very selective. They are largely based on manual labour but can have quite sophisticated equipment for sorting, shredding, extruding or other mechanical processes. These facilities might potentially generate significant amounts of residues which can be either returned to the formal system or disposed of in an uncontrolled way.
</t>
  </si>
  <si>
    <t>Disposal of rejects</t>
  </si>
  <si>
    <t>Table 7: leakage potential levels for influencer "disposal of rejects"</t>
  </si>
  <si>
    <t>Table 10: leakage potential levels for influencer "disposal of rejects”</t>
  </si>
  <si>
    <t>Please refer to the "Point-source voluntary" fate decision tree within the user manual or quick reference guide to allocate a value based on the descriptions given. The normalised fate percentage is with respect to only the portion of waste voluntarily le</t>
  </si>
  <si>
    <t>Please refer to the "Point-source voluntary" fate decision tree within the user manual or quick reference guide to allocate a value based on the descriptions given.</t>
  </si>
  <si>
    <t>Flow name</t>
  </si>
  <si>
    <t>% of generation</t>
  </si>
  <si>
    <t>Sankey diagram</t>
  </si>
  <si>
    <t>Basic</t>
  </si>
  <si>
    <t>Mass (T/y)</t>
  </si>
  <si>
    <t>Landfill / dumpsite</t>
  </si>
  <si>
    <t>Sorted for recovery</t>
  </si>
  <si>
    <t>Collected by service providers</t>
  </si>
  <si>
    <t>Informal value-chain collection</t>
  </si>
  <si>
    <t>Uncollected</t>
  </si>
  <si>
    <t>Sorting by formal sector</t>
  </si>
  <si>
    <t>Sorting by informal sector</t>
  </si>
  <si>
    <t>Complex</t>
  </si>
  <si>
    <r>
      <rPr>
        <b/>
        <sz val="11"/>
        <rFont val="Calibri"/>
        <family val="2"/>
      </rPr>
      <t>10)</t>
    </r>
    <r>
      <rPr>
        <sz val="11"/>
        <rFont val="Calibri"/>
        <family val="2"/>
      </rPr>
      <t xml:space="preserve"> If necessary drag the nodes of the flows around to a more</t>
    </r>
  </si>
  <si>
    <t xml:space="preserve"> suitable layout. This must be performed last as any subsequent </t>
  </si>
  <si>
    <t>changes to the style of the Sankey diagram with revert this step.</t>
  </si>
  <si>
    <t>How much of the collected MSW is sent to disposal facilities? Ⓘ</t>
  </si>
  <si>
    <t>The methodology behind measuring the amount and composition of waste disposed of in disposal sites is outlined within the user manual.</t>
  </si>
  <si>
    <t>Disposal facilities refer to disposal sites which are regularly (i.e. daily) used by the public authorities and private collectors, regardless of their level of control and legality. Such sites may or may not have an official recognition (license).  Also, they may be managed in either a controlled or uncontrolled manner.</t>
  </si>
  <si>
    <t>Plastic waste leakage from disposal facilities</t>
  </si>
  <si>
    <t>Disposal in disposal facilities</t>
  </si>
  <si>
    <t>Contribution from disposal facilities</t>
  </si>
  <si>
    <t>Disposal facilities</t>
  </si>
  <si>
    <t>Fate of plastic waste leaked from disposal facilities</t>
  </si>
  <si>
    <t>How much of the waste at disposal facilities are managed in controlled facilities?</t>
  </si>
  <si>
    <t>How much MSW is disposed of in disposal facilities? Ⓘ</t>
  </si>
  <si>
    <t>Plastic leakage from disposal facilities</t>
  </si>
  <si>
    <t xml:space="preserve">Leakage of plastic from disposal facilities (F17) refers to plastic that leaks from disposal sites carried either by either the wind (windblown) or by water/landslides.
Windblown leakage is one of many operational concerns in the management of a landfill. In spite of the abundance on guidelines on how to manage and avoid this leakage (Lapps, 1985; Martel and Helm, 2004; Fanning, 2012), no quantitative data was found with estimates or measurements of on quantities.
You will notice that the two separate plastic leakage types (wind and water/landslides) are separated in the decision tree. In some sites you might find just one, whilst in others, both types of leakage might be present. The combined leakage is the sum of both as shown in the formula at the bottom of the decision tree </t>
  </si>
  <si>
    <t xml:space="preserve">The leakage type “point source involuntary” represents plastic which is released to the environment from a number of fixed point sources whilst not under someone’s control. Point sources for this leakage type include disposal facilities. As with the point source voluntary leakage type, observations should be conducted in the vicinity of the point sources. If multiple point sources exist, then observations should be conducted outside as many as possible, with descriptions chosen which best match the average situation. </t>
  </si>
  <si>
    <t>MSW management facilities refer to collection points that receive municipal solid waste previously collected. These facilities fall into two groups (based on SDG 11.6.1 methodology (UN-Habitat, 2020): recovery facilities (including facilities that prepare for recovery) and disposal facilities. MSW Managed in Controlled Facilities refers to municipal solid waste received by facilities with Level 3 control or above according to the ladder shown in figure below. These facilities include preparation and recovery facilities (for energy and materials) and disposal facilities. The ladder can be used as a checklist for assessing the level of control of a particular recovery or disposal facility. Note that the emphasis is on operational controls rather than engineering/design control. A facility that is engineered and constructed to a high standard, but not operated in compliance with Level 3 (or above) standard is not regarded as a controlled facility.</t>
  </si>
  <si>
    <t>The leakage type “diffuse involuntary” represents plastic which is released to the environment from many locations whilst not under someone’s control. For example, this includes plastic which leaks from collection services (i.e. whilst it is waiting to be collected or during the collection), plastic which leaks due to the informal value-chain collection activities, or plastic which leaks whilst being transported to designated disposal sites. The widespread (diffuse) nature of the leakages means observation assessments should be done in multiple locations throughout the district, although a degree of focus can be applied to target key areas. For example, if assessing the collection systems, observations should be conducted in the vicinity of the areas with collection services. Alternatively, if assessing leakage from transportation to disposal facilities, observations can be targeted along the relevant transportation routes.</t>
  </si>
  <si>
    <t>Waste retained at disposal facilities</t>
  </si>
  <si>
    <t>Waste managed in controlled disposal facilities</t>
  </si>
  <si>
    <r>
      <rPr>
        <vertAlign val="superscript"/>
        <sz val="12"/>
        <color theme="10"/>
        <rFont val="Calibri"/>
        <family val="2"/>
        <scheme val="minor"/>
      </rPr>
      <t>4</t>
    </r>
    <r>
      <rPr>
        <sz val="12"/>
        <color theme="10"/>
        <rFont val="Calibri"/>
        <family val="2"/>
        <scheme val="minor"/>
      </rPr>
      <t xml:space="preserve"> UN-Habitat, 2020. Waste Wise Cities Tool: SDG 11.6.1. A step-by-step guide for a rapid assessment of SWM systems in cities. https://unhabitat.org/waste-wise-cities-campaign</t>
    </r>
  </si>
  <si>
    <t>Plastic entering water systems (directly or via transportation over land)</t>
  </si>
  <si>
    <t>Direct to disposal (untreated)</t>
  </si>
  <si>
    <t>Collection service waste going to treatment or disposal</t>
  </si>
  <si>
    <t>Labels for entering into Sankey Diagram template</t>
  </si>
  <si>
    <t>Country:</t>
  </si>
  <si>
    <t>City / Municipality:</t>
  </si>
  <si>
    <t>Assessment Date (DD/MM/YYYY)</t>
  </si>
  <si>
    <t>Primary contact position in organisation:</t>
  </si>
  <si>
    <t>Primary contact name:</t>
  </si>
  <si>
    <t>Primary contact email:</t>
  </si>
  <si>
    <t>Primary contact organisation:</t>
  </si>
  <si>
    <t>Lead organisation:</t>
  </si>
  <si>
    <t>Other organisations:</t>
  </si>
  <si>
    <t>Adminsitrative / geographical study bondary:</t>
  </si>
  <si>
    <t>Primary contact telephone</t>
  </si>
  <si>
    <t>Secondary contact name:</t>
  </si>
  <si>
    <t>Secondary contact organisation:</t>
  </si>
  <si>
    <t>Secondary contact position in organisation:</t>
  </si>
  <si>
    <t>Secondary contact email:</t>
  </si>
  <si>
    <t>Secondary contact telephone</t>
  </si>
  <si>
    <t>What is your aim behind using the WFD?</t>
  </si>
  <si>
    <t>Details of Case Study</t>
  </si>
  <si>
    <t>Why share your case study with us?</t>
  </si>
  <si>
    <t>We encourage users to share the following information with us:
1. Completed case study reports and WFD excel sheets
2. If possible, primary data acquired during field visits for the application of the WFD. This will enable us to provide quality assurance.</t>
  </si>
  <si>
    <t>What information should be shared?</t>
  </si>
  <si>
    <t>Where will data be stored?</t>
  </si>
  <si>
    <t>After quality assurance checks, your case study data and results will be stored and made publically available from the University of Leeds Repository under the Waste Flow Diagram collection. All data will we managed in line with GDPR regulations.</t>
  </si>
  <si>
    <t xml:space="preserve">Whilst the Waste Flow Diagram (WFD) is freely distributed under the creative commons (CC-BY-ND) license, we encourage users include the development team in the application of the toolkit and sharing of the results.  This has a number of mutual benefits such as:
     1. Allows us to help you in applying the toolkit
     2. Help in providing quality assurance
     3. Increase the availability of data for both waste management and marine litter
     4. Improve the robustness of the WFD
     5. Build a community of practice for data driven marine litter prevention
</t>
  </si>
  <si>
    <t>How to share your case study with us</t>
  </si>
  <si>
    <t>Whether you are just starting out applying the Waste Flow Diagram, or have a completed case study, please get in contact with the development team at wfd.plasticpollution@leeds.ac.uk to see how we may help.</t>
  </si>
  <si>
    <t>Collection efficiency: % of waste collected for recovery or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</si>
</sst>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_-* #,##0\ _€_-;\-* #,##0\ _€_-;_-* &quot;-&quot;??\ _€_-;_-@_-"/>
    <numFmt numFmtId="166" formatCode="0.0%"/>
    <numFmt numFmtId="167" formatCode="#,##0_ ;\-#,##0\ "/>
    <numFmt numFmtId="168" formatCode="0.0"/>
    <numFmt numFmtId="169" formatCode="0.0000000"/>
    <numFmt numFmtId="170" formatCode="0.00000000"/>
    <numFmt numFmtId="171" formatCode="0.0000"/>
    <numFmt numFmtId="172" formatCode="#,##0.000000"/>
    <numFmt numFmtId="173" formatCode="#,##0.0"/>
    <numFmt numFmtId="174" formatCode="#,##0.0000000000000"/>
    <numFmt numFmtId="175" formatCode="0.000000000"/>
  </numFmts>
  <fonts count="90" x14ac:knownFonts="1">
    <font>
      <sz val="12"/>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6"/>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2"/>
      <name val="Calibri"/>
      <family val="2"/>
      <scheme val="minor"/>
    </font>
    <font>
      <sz val="12"/>
      <color rgb="FFFF0000"/>
      <name val="Calibri"/>
      <family val="2"/>
      <scheme val="minor"/>
    </font>
    <font>
      <b/>
      <sz val="10"/>
      <color theme="1"/>
      <name val="Calibri"/>
      <family val="2"/>
      <scheme val="minor"/>
    </font>
    <font>
      <sz val="10"/>
      <name val="Calibri"/>
      <family val="2"/>
      <scheme val="minor"/>
    </font>
    <font>
      <b/>
      <sz val="12"/>
      <name val="Calibri"/>
      <family val="2"/>
      <scheme val="minor"/>
    </font>
    <font>
      <sz val="12"/>
      <color theme="0"/>
      <name val="Calibri"/>
      <family val="2"/>
      <scheme val="minor"/>
    </font>
    <font>
      <b/>
      <sz val="12"/>
      <color theme="0"/>
      <name val="Calibri"/>
      <family val="2"/>
      <scheme val="minor"/>
    </font>
    <font>
      <sz val="10"/>
      <color rgb="FFFF0000"/>
      <name val="Calibri"/>
      <family val="2"/>
      <scheme val="minor"/>
    </font>
    <font>
      <i/>
      <sz val="10"/>
      <color rgb="FF7F7F7F"/>
      <name val="Calibri"/>
      <family val="2"/>
      <scheme val="minor"/>
    </font>
    <font>
      <b/>
      <sz val="10"/>
      <name val="Calibri"/>
      <family val="2"/>
      <scheme val="minor"/>
    </font>
    <font>
      <sz val="10"/>
      <color theme="0" tint="-0.499984740745262"/>
      <name val="Calibri"/>
      <family val="2"/>
      <scheme val="minor"/>
    </font>
    <font>
      <b/>
      <sz val="11"/>
      <color theme="3"/>
      <name val="Arial"/>
      <family val="2"/>
    </font>
    <font>
      <i/>
      <sz val="10"/>
      <color rgb="FF7F7F7F"/>
      <name val="Calibri"/>
      <family val="2"/>
    </font>
    <font>
      <sz val="11"/>
      <color rgb="FF9C0006"/>
      <name val="Calibri"/>
      <family val="2"/>
      <scheme val="minor"/>
    </font>
    <font>
      <sz val="11"/>
      <color theme="0"/>
      <name val="Calibri"/>
      <family val="2"/>
      <scheme val="minor"/>
    </font>
    <font>
      <sz val="11"/>
      <name val="Calibri"/>
      <family val="2"/>
      <scheme val="minor"/>
    </font>
    <font>
      <b/>
      <sz val="11"/>
      <name val="Calibri"/>
      <family val="2"/>
      <scheme val="minor"/>
    </font>
    <font>
      <b/>
      <sz val="10"/>
      <color rgb="FF7F7F7F"/>
      <name val="Calibri"/>
      <family val="2"/>
      <scheme val="minor"/>
    </font>
    <font>
      <b/>
      <sz val="10"/>
      <color rgb="FF7F7F7F"/>
      <name val="Arial"/>
      <family val="2"/>
    </font>
    <font>
      <b/>
      <sz val="10"/>
      <color theme="0"/>
      <name val="Calibri"/>
      <family val="2"/>
      <scheme val="minor"/>
    </font>
    <font>
      <b/>
      <sz val="10"/>
      <color rgb="FFFF0000"/>
      <name val="Calibri"/>
      <family val="2"/>
      <scheme val="minor"/>
    </font>
    <font>
      <i/>
      <sz val="12"/>
      <color rgb="FFFF0000"/>
      <name val="Calibri"/>
      <family val="2"/>
      <scheme val="minor"/>
    </font>
    <font>
      <i/>
      <sz val="12"/>
      <color theme="1"/>
      <name val="Calibri"/>
      <family val="2"/>
      <scheme val="minor"/>
    </font>
    <font>
      <b/>
      <sz val="10"/>
      <color rgb="FFFA7D00"/>
      <name val="Arial"/>
      <family val="2"/>
    </font>
    <font>
      <b/>
      <sz val="10"/>
      <color theme="1"/>
      <name val="Arial"/>
      <family val="2"/>
    </font>
    <font>
      <sz val="9"/>
      <color theme="1"/>
      <name val="Calibri"/>
      <family val="2"/>
      <scheme val="minor"/>
    </font>
    <font>
      <sz val="8"/>
      <color theme="1"/>
      <name val="Calibri"/>
      <family val="2"/>
      <scheme val="minor"/>
    </font>
    <font>
      <b/>
      <sz val="11"/>
      <color theme="1"/>
      <name val="Calibri"/>
      <family val="2"/>
      <scheme val="minor"/>
    </font>
    <font>
      <i/>
      <sz val="10"/>
      <color theme="1"/>
      <name val="Calibri"/>
      <family val="2"/>
      <scheme val="minor"/>
    </font>
    <font>
      <b/>
      <sz val="10"/>
      <color theme="1"/>
      <name val="Calibri"/>
      <family val="2"/>
    </font>
    <font>
      <sz val="9"/>
      <color indexed="81"/>
      <name val="Tahoma"/>
      <family val="2"/>
    </font>
    <font>
      <b/>
      <sz val="9"/>
      <color indexed="81"/>
      <name val="Tahoma"/>
      <family val="2"/>
    </font>
    <font>
      <b/>
      <sz val="14"/>
      <name val="Calibri"/>
      <family val="2"/>
      <scheme val="minor"/>
    </font>
    <font>
      <b/>
      <sz val="9"/>
      <color theme="1"/>
      <name val="Calibri"/>
      <family val="2"/>
      <scheme val="minor"/>
    </font>
    <font>
      <b/>
      <sz val="9"/>
      <name val="Calibri"/>
      <family val="2"/>
      <scheme val="minor"/>
    </font>
    <font>
      <sz val="9"/>
      <name val="Calibri"/>
      <family val="2"/>
      <scheme val="minor"/>
    </font>
    <font>
      <b/>
      <sz val="9"/>
      <color theme="0"/>
      <name val="Calibri"/>
      <family val="2"/>
      <scheme val="minor"/>
    </font>
    <font>
      <i/>
      <sz val="9"/>
      <name val="Calibri"/>
      <family val="2"/>
      <scheme val="minor"/>
    </font>
    <font>
      <b/>
      <sz val="12"/>
      <color theme="1"/>
      <name val="Segoe UI Symbol"/>
      <family val="2"/>
    </font>
    <font>
      <sz val="10"/>
      <color rgb="FF7F7F7F"/>
      <name val="Calibri"/>
      <family val="2"/>
    </font>
    <font>
      <b/>
      <sz val="16"/>
      <color theme="1"/>
      <name val="Calibri"/>
      <family val="2"/>
      <scheme val="minor"/>
    </font>
    <font>
      <i/>
      <sz val="10"/>
      <name val="Calibri"/>
      <family val="2"/>
    </font>
    <font>
      <sz val="11"/>
      <name val="Calibri"/>
      <family val="2"/>
    </font>
    <font>
      <b/>
      <sz val="11"/>
      <name val="Calibri"/>
      <family val="2"/>
    </font>
    <font>
      <b/>
      <u/>
      <sz val="11"/>
      <name val="Calibri"/>
      <family val="2"/>
    </font>
    <font>
      <b/>
      <u/>
      <sz val="18"/>
      <color theme="1"/>
      <name val="Calibri"/>
      <family val="2"/>
      <scheme val="minor"/>
    </font>
    <font>
      <i/>
      <sz val="10"/>
      <name val="Calibri"/>
      <family val="2"/>
      <scheme val="minor"/>
    </font>
    <font>
      <sz val="10"/>
      <color rgb="FF9C0006"/>
      <name val="Arial"/>
      <family val="2"/>
    </font>
    <font>
      <b/>
      <sz val="10"/>
      <color rgb="FF9C0006"/>
      <name val="Arial"/>
      <family val="2"/>
    </font>
    <font>
      <b/>
      <sz val="10"/>
      <color rgb="FF7F7F7F"/>
      <name val="Calibri"/>
      <family val="2"/>
    </font>
    <font>
      <sz val="10"/>
      <name val="Calibri"/>
      <family val="2"/>
    </font>
    <font>
      <sz val="10"/>
      <color rgb="FFFF0000"/>
      <name val="Arial"/>
      <family val="2"/>
    </font>
    <font>
      <sz val="10"/>
      <color theme="1"/>
      <name val="Calibri"/>
      <family val="2"/>
      <scheme val="minor"/>
    </font>
    <font>
      <b/>
      <sz val="10"/>
      <color rgb="FF9C0006"/>
      <name val="Calibri"/>
      <family val="2"/>
      <scheme val="minor"/>
    </font>
    <font>
      <i/>
      <sz val="8"/>
      <name val="Calibri"/>
      <family val="2"/>
      <scheme val="minor"/>
    </font>
    <font>
      <vertAlign val="superscript"/>
      <sz val="10"/>
      <color theme="1"/>
      <name val="Arial"/>
      <family val="2"/>
    </font>
    <font>
      <sz val="10"/>
      <color rgb="FF0070C0"/>
      <name val="Calibri"/>
      <family val="2"/>
      <scheme val="minor"/>
    </font>
    <font>
      <sz val="10"/>
      <color theme="10"/>
      <name val="Calibri"/>
      <family val="2"/>
      <scheme val="minor"/>
    </font>
    <font>
      <vertAlign val="superscript"/>
      <sz val="12"/>
      <color theme="1"/>
      <name val="Calibri"/>
      <family val="2"/>
      <scheme val="minor"/>
    </font>
    <font>
      <sz val="12"/>
      <color theme="10"/>
      <name val="Calibri"/>
      <family val="2"/>
      <scheme val="minor"/>
    </font>
    <font>
      <b/>
      <sz val="26"/>
      <color theme="1"/>
      <name val="Calibri"/>
      <family val="2"/>
      <scheme val="minor"/>
    </font>
    <font>
      <vertAlign val="superscript"/>
      <sz val="12"/>
      <color theme="10"/>
      <name val="Calibri"/>
      <family val="2"/>
      <scheme val="minor"/>
    </font>
    <font>
      <b/>
      <sz val="11"/>
      <color theme="0"/>
      <name val="Calibri"/>
      <family val="2"/>
      <scheme val="minor"/>
    </font>
    <font>
      <sz val="9"/>
      <color theme="0"/>
      <name val="Calibri"/>
      <family val="2"/>
      <scheme val="minor"/>
    </font>
    <font>
      <i/>
      <sz val="9"/>
      <color theme="0"/>
      <name val="Calibri"/>
      <family val="2"/>
      <scheme val="minor"/>
    </font>
    <font>
      <i/>
      <sz val="9"/>
      <color theme="1"/>
      <name val="Calibri"/>
      <family val="2"/>
      <scheme val="minor"/>
    </font>
    <font>
      <sz val="16"/>
      <color theme="1"/>
      <name val="Calibri"/>
      <family val="2"/>
      <scheme val="minor"/>
    </font>
    <font>
      <vertAlign val="superscript"/>
      <sz val="9"/>
      <name val="Calibri"/>
      <family val="2"/>
      <scheme val="minor"/>
    </font>
    <font>
      <sz val="9"/>
      <color indexed="81"/>
      <name val="Segoe UI"/>
      <family val="2"/>
    </font>
    <font>
      <b/>
      <sz val="9"/>
      <color indexed="81"/>
      <name val="Segoe UI"/>
      <family val="2"/>
    </font>
    <font>
      <b/>
      <sz val="18"/>
      <color theme="1"/>
      <name val="Calibri"/>
      <family val="2"/>
      <scheme val="minor"/>
    </font>
    <font>
      <b/>
      <u/>
      <sz val="12"/>
      <name val="Calibri"/>
      <family val="2"/>
      <scheme val="minor"/>
    </font>
    <font>
      <b/>
      <u/>
      <sz val="18"/>
      <name val="Calibri"/>
      <family val="2"/>
      <scheme val="minor"/>
    </font>
  </fonts>
  <fills count="47">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59999389629810485"/>
        <bgColor indexed="64"/>
      </patternFill>
    </fill>
    <fill>
      <patternFill patternType="solid">
        <fgColor rgb="FFFFC7CE"/>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59999389629810485"/>
        <bgColor theme="4" tint="0.59999389629810485"/>
      </patternFill>
    </fill>
    <fill>
      <patternFill patternType="solid">
        <fgColor theme="4"/>
        <bgColor theme="4"/>
      </patternFill>
    </fill>
    <fill>
      <patternFill patternType="solid">
        <fgColor theme="4" tint="0.79998168889431442"/>
        <bgColor theme="4" tint="0.79998168889431442"/>
      </patternFill>
    </fill>
    <fill>
      <patternFill patternType="solid">
        <fgColor rgb="FFF2F2F2"/>
      </patternFill>
    </fill>
    <fill>
      <patternFill patternType="solid">
        <fgColor rgb="FFD9D9D9"/>
        <bgColor indexed="64"/>
      </patternFill>
    </fill>
    <fill>
      <patternFill patternType="solid">
        <fgColor rgb="FFF8CED1"/>
        <bgColor indexed="64"/>
      </patternFill>
    </fill>
    <fill>
      <patternFill patternType="solid">
        <fgColor rgb="FFFFE6CC"/>
        <bgColor indexed="64"/>
      </patternFill>
    </fill>
    <fill>
      <patternFill patternType="solid">
        <fgColor rgb="FFFFF2CC"/>
        <bgColor indexed="64"/>
      </patternFill>
    </fill>
    <fill>
      <patternFill patternType="solid">
        <fgColor rgb="FFDAE8FC"/>
        <bgColor indexed="64"/>
      </patternFill>
    </fill>
    <fill>
      <patternFill patternType="solid">
        <fgColor rgb="FFD5E8D4"/>
        <bgColor indexed="64"/>
      </patternFill>
    </fill>
    <fill>
      <patternFill patternType="solid">
        <fgColor rgb="FFE7E6E6"/>
        <bgColor indexed="64"/>
      </patternFill>
    </fill>
    <fill>
      <patternFill patternType="solid">
        <fgColor rgb="FFF2F2F2"/>
        <bgColor indexed="64"/>
      </patternFill>
    </fill>
    <fill>
      <patternFill patternType="solid">
        <fgColor rgb="FFF5F5F5"/>
        <bgColor indexed="64"/>
      </patternFill>
    </fill>
    <fill>
      <patternFill patternType="solid">
        <fgColor rgb="FFF8CECC"/>
        <bgColor indexed="64"/>
      </patternFill>
    </fill>
    <fill>
      <patternFill patternType="solid">
        <fgColor rgb="FFBF6663"/>
        <bgColor indexed="64"/>
      </patternFill>
    </fill>
    <fill>
      <patternFill patternType="solid">
        <fgColor rgb="FFE9BF60"/>
        <bgColor indexed="64"/>
      </patternFill>
    </fill>
    <fill>
      <patternFill patternType="solid">
        <fgColor rgb="FFA0B8DB"/>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D9BC66"/>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s>
  <borders count="9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auto="1"/>
      </bottom>
      <diagonal/>
    </border>
    <border>
      <left style="medium">
        <color auto="1"/>
      </left>
      <right/>
      <top style="thin">
        <color auto="1"/>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auto="1"/>
      </right>
      <top style="thin">
        <color auto="1"/>
      </top>
      <bottom/>
      <diagonal/>
    </border>
    <border>
      <left style="thin">
        <color indexed="64"/>
      </left>
      <right style="thin">
        <color auto="1"/>
      </right>
      <top/>
      <bottom style="medium">
        <color indexed="64"/>
      </bottom>
      <diagonal/>
    </border>
    <border>
      <left style="thin">
        <color auto="1"/>
      </left>
      <right style="medium">
        <color indexed="64"/>
      </right>
      <top/>
      <bottom style="medium">
        <color indexed="64"/>
      </bottom>
      <diagonal/>
    </border>
    <border>
      <left/>
      <right/>
      <top style="thick">
        <color theme="0"/>
      </top>
      <bottom/>
      <diagonal/>
    </border>
    <border>
      <left/>
      <right/>
      <top style="thin">
        <color theme="0"/>
      </top>
      <bottom/>
      <diagonal/>
    </border>
    <border>
      <left style="thin">
        <color rgb="FF7F7F7F"/>
      </left>
      <right style="thin">
        <color rgb="FF7F7F7F"/>
      </right>
      <top style="thin">
        <color rgb="FF7F7F7F"/>
      </top>
      <bottom style="thin">
        <color rgb="FF7F7F7F"/>
      </bottom>
      <diagonal/>
    </border>
    <border>
      <left/>
      <right/>
      <top/>
      <bottom style="thin">
        <color auto="1"/>
      </bottom>
      <diagonal/>
    </border>
    <border>
      <left/>
      <right/>
      <top style="thin">
        <color indexed="64"/>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thin">
        <color indexed="64"/>
      </left>
      <right style="thin">
        <color indexed="64"/>
      </right>
      <top style="medium">
        <color indexed="64"/>
      </top>
      <bottom style="thin">
        <color auto="1"/>
      </bottom>
      <diagonal/>
    </border>
    <border>
      <left style="thin">
        <color auto="1"/>
      </left>
      <right style="thin">
        <color auto="1"/>
      </right>
      <top style="medium">
        <color indexed="64"/>
      </top>
      <bottom style="medium">
        <color indexed="64"/>
      </bottom>
      <diagonal/>
    </border>
    <border>
      <left/>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auto="1"/>
      </right>
      <top/>
      <bottom style="medium">
        <color indexed="64"/>
      </bottom>
      <diagonal/>
    </border>
    <border>
      <left style="medium">
        <color rgb="FF8F8F8F"/>
      </left>
      <right style="medium">
        <color rgb="FF8F8F8F"/>
      </right>
      <top style="medium">
        <color rgb="FF8F8F8F"/>
      </top>
      <bottom style="medium">
        <color rgb="FF8F8F8F"/>
      </bottom>
      <diagonal/>
    </border>
    <border>
      <left/>
      <right style="medium">
        <color rgb="FF8F8F8F"/>
      </right>
      <top style="medium">
        <color rgb="FF8F8F8F"/>
      </top>
      <bottom style="medium">
        <color rgb="FF8F8F8F"/>
      </bottom>
      <diagonal/>
    </border>
    <border>
      <left style="medium">
        <color rgb="FFBF6663"/>
      </left>
      <right style="medium">
        <color rgb="FFBF6663"/>
      </right>
      <top/>
      <bottom style="medium">
        <color rgb="FFBF6663"/>
      </bottom>
      <diagonal/>
    </border>
    <border>
      <left/>
      <right style="medium">
        <color rgb="FFBF6663"/>
      </right>
      <top/>
      <bottom style="medium">
        <color rgb="FFBF6663"/>
      </bottom>
      <diagonal/>
    </border>
    <border>
      <left style="medium">
        <color rgb="FFE9BF60"/>
      </left>
      <right style="medium">
        <color rgb="FFE9BF60"/>
      </right>
      <top/>
      <bottom style="medium">
        <color rgb="FFE9BF60"/>
      </bottom>
      <diagonal/>
    </border>
    <border>
      <left/>
      <right style="medium">
        <color rgb="FFE9BF60"/>
      </right>
      <top/>
      <bottom style="medium">
        <color rgb="FFE9BF60"/>
      </bottom>
      <diagonal/>
    </border>
    <border>
      <left style="medium">
        <color rgb="FFD9BC66"/>
      </left>
      <right style="medium">
        <color rgb="FFD9BC66"/>
      </right>
      <top/>
      <bottom style="medium">
        <color rgb="FFD9BC66"/>
      </bottom>
      <diagonal/>
    </border>
    <border>
      <left/>
      <right style="medium">
        <color rgb="FFD9BC66"/>
      </right>
      <top/>
      <bottom style="medium">
        <color rgb="FFD9BC66"/>
      </bottom>
      <diagonal/>
    </border>
    <border>
      <left style="medium">
        <color rgb="FFA0B8DB"/>
      </left>
      <right style="medium">
        <color rgb="FFA0B8DB"/>
      </right>
      <top/>
      <bottom style="medium">
        <color rgb="FFA0B8DB"/>
      </bottom>
      <diagonal/>
    </border>
    <border>
      <left/>
      <right style="medium">
        <color rgb="FFA0B8DB"/>
      </right>
      <top/>
      <bottom style="medium">
        <color rgb="FFA0B8DB"/>
      </bottom>
      <diagonal/>
    </border>
    <border>
      <left style="medium">
        <color rgb="FFABCD9C"/>
      </left>
      <right style="medium">
        <color rgb="FFABCD9C"/>
      </right>
      <top/>
      <bottom style="medium">
        <color rgb="FFABCD9C"/>
      </bottom>
      <diagonal/>
    </border>
    <border>
      <left/>
      <right style="medium">
        <color rgb="FFABCD9C"/>
      </right>
      <top/>
      <bottom style="medium">
        <color rgb="FFABCD9C"/>
      </bottom>
      <diagonal/>
    </border>
    <border>
      <left/>
      <right/>
      <top/>
      <bottom style="medium">
        <color rgb="FF8F8F8F"/>
      </bottom>
      <diagonal/>
    </border>
    <border>
      <left style="medium">
        <color rgb="FFA0B8DB"/>
      </left>
      <right style="medium">
        <color rgb="FFA0B8DB"/>
      </right>
      <top/>
      <bottom style="medium">
        <color rgb="FFD9BC66"/>
      </bottom>
      <diagonal/>
    </border>
    <border>
      <left/>
      <right style="medium">
        <color rgb="FFA0B8DB"/>
      </right>
      <top/>
      <bottom style="medium">
        <color rgb="FFD9BC66"/>
      </bottom>
      <diagonal/>
    </border>
    <border>
      <left style="medium">
        <color rgb="FFA0B8DB"/>
      </left>
      <right style="medium">
        <color rgb="FFA0B8DB"/>
      </right>
      <top/>
      <bottom style="medium">
        <color rgb="FF8F8F8F"/>
      </bottom>
      <diagonal/>
    </border>
    <border>
      <left/>
      <right style="medium">
        <color rgb="FFA0B8DB"/>
      </right>
      <top/>
      <bottom style="medium">
        <color rgb="FF8F8F8F"/>
      </bottom>
      <diagonal/>
    </border>
    <border>
      <left style="medium">
        <color rgb="FF8F8F8F"/>
      </left>
      <right style="medium">
        <color rgb="FF8F8F8F"/>
      </right>
      <top/>
      <bottom style="medium">
        <color rgb="FF8F8F8F"/>
      </bottom>
      <diagonal/>
    </border>
    <border>
      <left/>
      <right style="medium">
        <color rgb="FF8F8F8F"/>
      </right>
      <top/>
      <bottom style="medium">
        <color rgb="FF8F8F8F"/>
      </bottom>
      <diagonal/>
    </border>
    <border>
      <left style="medium">
        <color rgb="FFBF6663"/>
      </left>
      <right style="medium">
        <color rgb="FFBF6663"/>
      </right>
      <top/>
      <bottom/>
      <diagonal/>
    </border>
    <border>
      <left/>
      <right style="medium">
        <color rgb="FFBF6663"/>
      </right>
      <top/>
      <bottom/>
      <diagonal/>
    </border>
    <border>
      <left style="medium">
        <color rgb="FFBF6663"/>
      </left>
      <right style="medium">
        <color rgb="FFBF6663"/>
      </right>
      <top style="medium">
        <color rgb="FF8F8F8F"/>
      </top>
      <bottom/>
      <diagonal/>
    </border>
    <border>
      <left style="medium">
        <color rgb="FFE9BF60"/>
      </left>
      <right style="medium">
        <color rgb="FFE9BF60"/>
      </right>
      <top/>
      <bottom/>
      <diagonal/>
    </border>
    <border>
      <left/>
      <right style="medium">
        <color rgb="FFE9BF60"/>
      </right>
      <top/>
      <bottom/>
      <diagonal/>
    </border>
    <border>
      <left style="medium">
        <color rgb="FFE9BF60"/>
      </left>
      <right style="medium">
        <color rgb="FFE9BF60"/>
      </right>
      <top style="medium">
        <color rgb="FF8F8F8F"/>
      </top>
      <bottom/>
      <diagonal/>
    </border>
    <border>
      <left style="medium">
        <color rgb="FFABCD9C"/>
      </left>
      <right style="medium">
        <color rgb="FFABCD9C"/>
      </right>
      <top/>
      <bottom style="medium">
        <color rgb="FFA0B8DB"/>
      </bottom>
      <diagonal/>
    </border>
    <border>
      <left/>
      <right style="medium">
        <color rgb="FFABCD9C"/>
      </right>
      <top/>
      <bottom style="medium">
        <color rgb="FFA0B8DB"/>
      </bottom>
      <diagonal/>
    </border>
    <border>
      <left style="medium">
        <color rgb="FFD9BC66"/>
      </left>
      <right style="medium">
        <color rgb="FFD9BC66"/>
      </right>
      <top/>
      <bottom/>
      <diagonal/>
    </border>
    <border>
      <left/>
      <right style="medium">
        <color rgb="FFD9BC66"/>
      </right>
      <top/>
      <bottom/>
      <diagonal/>
    </border>
    <border>
      <left style="medium">
        <color rgb="FFA0B8DB"/>
      </left>
      <right style="medium">
        <color rgb="FFA0B8DB"/>
      </right>
      <top/>
      <bottom/>
      <diagonal/>
    </border>
    <border>
      <left/>
      <right style="medium">
        <color rgb="FFA0B8DB"/>
      </right>
      <top/>
      <bottom/>
      <diagonal/>
    </border>
    <border>
      <left style="medium">
        <color rgb="FFABCD9C"/>
      </left>
      <right style="medium">
        <color rgb="FFABCD9C"/>
      </right>
      <top/>
      <bottom/>
      <diagonal/>
    </border>
    <border>
      <left/>
      <right style="medium">
        <color rgb="FFABCD9C"/>
      </right>
      <top/>
      <bottom/>
      <diagonal/>
    </border>
    <border>
      <left style="medium">
        <color rgb="FF8F8F8F"/>
      </left>
      <right style="medium">
        <color rgb="FF8F8F8F"/>
      </right>
      <top/>
      <bottom/>
      <diagonal/>
    </border>
    <border>
      <left/>
      <right style="medium">
        <color rgb="FF8F8F8F"/>
      </right>
      <top/>
      <bottom/>
      <diagonal/>
    </border>
    <border>
      <left style="medium">
        <color rgb="FFE9BF60"/>
      </left>
      <right style="medium">
        <color rgb="FFE9BF60"/>
      </right>
      <top style="medium">
        <color rgb="FFBF6663"/>
      </top>
      <bottom/>
      <diagonal/>
    </border>
    <border>
      <left style="medium">
        <color rgb="FFD9BC66"/>
      </left>
      <right style="medium">
        <color rgb="FFD9BC66"/>
      </right>
      <top style="medium">
        <color rgb="FFE9BF60"/>
      </top>
      <bottom/>
      <diagonal/>
    </border>
    <border>
      <left style="medium">
        <color rgb="FFA0B8DB"/>
      </left>
      <right style="medium">
        <color rgb="FFA0B8DB"/>
      </right>
      <top style="medium">
        <color rgb="FFD9BC66"/>
      </top>
      <bottom/>
      <diagonal/>
    </border>
    <border>
      <left style="medium">
        <color rgb="FFABCD9C"/>
      </left>
      <right style="medium">
        <color rgb="FFABCD9C"/>
      </right>
      <top style="medium">
        <color rgb="FFA0B8DB"/>
      </top>
      <bottom/>
      <diagonal/>
    </border>
    <border>
      <left style="medium">
        <color rgb="FF8F8F8F"/>
      </left>
      <right style="medium">
        <color rgb="FF8F8F8F"/>
      </right>
      <top style="medium">
        <color rgb="FFA0B8DB"/>
      </top>
      <bottom/>
      <diagonal/>
    </border>
    <border>
      <left style="medium">
        <color indexed="64"/>
      </left>
      <right style="medium">
        <color indexed="64"/>
      </right>
      <top style="thin">
        <color indexed="64"/>
      </top>
      <bottom style="medium">
        <color indexed="64"/>
      </bottom>
      <diagonal/>
    </border>
  </borders>
  <cellStyleXfs count="42">
    <xf numFmtId="0" fontId="0" fillId="0" borderId="0"/>
    <xf numFmtId="164" fontId="8" fillId="0" borderId="0" applyFont="0" applyFill="0" applyBorder="0" applyAlignment="0" applyProtection="0"/>
    <xf numFmtId="9" fontId="8"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11" fillId="0" borderId="0"/>
    <xf numFmtId="0" fontId="30" fillId="10" borderId="0" applyNumberFormat="0" applyBorder="0" applyAlignment="0" applyProtection="0"/>
    <xf numFmtId="0" fontId="31"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31" fillId="19" borderId="0" applyNumberFormat="0" applyBorder="0" applyAlignment="0" applyProtection="0"/>
    <xf numFmtId="0" fontId="6" fillId="20" borderId="0" applyNumberFormat="0" applyBorder="0" applyAlignment="0" applyProtection="0"/>
    <xf numFmtId="0" fontId="31" fillId="21" borderId="0" applyNumberFormat="0" applyBorder="0" applyAlignment="0" applyProtection="0"/>
    <xf numFmtId="0" fontId="40" fillId="26" borderId="44" applyNumberFormat="0" applyAlignment="0" applyProtection="0"/>
    <xf numFmtId="0" fontId="14" fillId="0" borderId="0" applyNumberFormat="0" applyFill="0" applyBorder="0" applyAlignment="0" applyProtection="0"/>
    <xf numFmtId="0" fontId="64" fillId="10" borderId="0" applyNumberFormat="0" applyBorder="0" applyAlignment="0" applyProtection="0"/>
    <xf numFmtId="0" fontId="68" fillId="0" borderId="0" applyNumberFormat="0" applyFill="0" applyBorder="0" applyAlignment="0" applyProtection="0"/>
  </cellStyleXfs>
  <cellXfs count="1023">
    <xf numFmtId="0" fontId="0" fillId="0" borderId="0" xfId="0"/>
    <xf numFmtId="0" fontId="9" fillId="0" borderId="0" xfId="0" applyFont="1"/>
    <xf numFmtId="0" fontId="10" fillId="0" borderId="0" xfId="0" applyFont="1" applyAlignment="1" applyProtection="1">
      <alignment vertical="center"/>
      <protection hidden="1"/>
    </xf>
    <xf numFmtId="0" fontId="0" fillId="0" borderId="0" xfId="0" applyProtection="1">
      <protection hidden="1"/>
    </xf>
    <xf numFmtId="166" fontId="16" fillId="0" borderId="0" xfId="0" applyNumberFormat="1" applyFont="1" applyFill="1" applyBorder="1" applyAlignment="1" applyProtection="1">
      <alignment horizontal="center" vertical="center"/>
      <protection locked="0"/>
    </xf>
    <xf numFmtId="166" fontId="20" fillId="0" borderId="0" xfId="0" applyNumberFormat="1" applyFont="1" applyFill="1" applyBorder="1" applyAlignment="1" applyProtection="1">
      <alignment horizontal="center" vertical="center"/>
      <protection locked="0"/>
    </xf>
    <xf numFmtId="167" fontId="20" fillId="5" borderId="10" xfId="1" applyNumberFormat="1" applyFont="1" applyFill="1" applyBorder="1" applyAlignment="1" applyProtection="1">
      <alignment horizontal="center" vertical="center"/>
      <protection locked="0"/>
    </xf>
    <xf numFmtId="0" fontId="16" fillId="0" borderId="0" xfId="0" applyFont="1"/>
    <xf numFmtId="167" fontId="16" fillId="5" borderId="9" xfId="1" applyNumberFormat="1" applyFont="1" applyFill="1" applyBorder="1" applyAlignment="1" applyProtection="1">
      <alignment horizontal="left" vertical="center"/>
      <protection locked="0"/>
    </xf>
    <xf numFmtId="2" fontId="16" fillId="5" borderId="9" xfId="0" applyNumberFormat="1" applyFont="1" applyFill="1" applyBorder="1" applyAlignment="1" applyProtection="1">
      <alignment horizontal="left" vertical="center"/>
      <protection locked="0"/>
    </xf>
    <xf numFmtId="9" fontId="20" fillId="5" borderId="9" xfId="2" applyFont="1" applyFill="1" applyBorder="1" applyAlignment="1" applyProtection="1">
      <alignment horizontal="left" vertical="center"/>
      <protection locked="0"/>
    </xf>
    <xf numFmtId="168" fontId="20" fillId="5" borderId="9" xfId="0" applyNumberFormat="1" applyFont="1" applyFill="1" applyBorder="1" applyAlignment="1" applyProtection="1">
      <alignment horizontal="left" vertical="center"/>
      <protection locked="0"/>
    </xf>
    <xf numFmtId="168" fontId="20" fillId="5" borderId="9" xfId="2" applyNumberFormat="1" applyFont="1" applyFill="1" applyBorder="1" applyAlignment="1" applyProtection="1">
      <alignment horizontal="left" vertical="center"/>
      <protection locked="0"/>
    </xf>
    <xf numFmtId="9" fontId="20" fillId="5" borderId="9" xfId="14" applyFont="1" applyFill="1" applyBorder="1" applyAlignment="1" applyProtection="1">
      <alignment horizontal="left" vertical="center"/>
      <protection locked="0"/>
    </xf>
    <xf numFmtId="2" fontId="20" fillId="5" borderId="9" xfId="2" applyNumberFormat="1" applyFont="1" applyFill="1" applyBorder="1" applyAlignment="1" applyProtection="1">
      <alignment horizontal="left" vertical="center"/>
      <protection locked="0"/>
    </xf>
    <xf numFmtId="0" fontId="9" fillId="0" borderId="0" xfId="0" applyFont="1" applyBorder="1" applyAlignment="1" applyProtection="1">
      <alignment horizontal="center" vertical="center"/>
      <protection hidden="1"/>
    </xf>
    <xf numFmtId="0" fontId="16" fillId="0" borderId="0" xfId="0" applyFont="1" applyAlignment="1">
      <alignment horizontal="center"/>
    </xf>
    <xf numFmtId="9" fontId="20" fillId="5" borderId="9" xfId="2" applyNumberFormat="1" applyFont="1" applyFill="1" applyBorder="1" applyAlignment="1" applyProtection="1">
      <alignment horizontal="left" vertical="center"/>
      <protection locked="0"/>
    </xf>
    <xf numFmtId="0" fontId="16" fillId="0" borderId="0" xfId="0" applyFont="1" applyFill="1"/>
    <xf numFmtId="175" fontId="16" fillId="0" borderId="0" xfId="0" applyNumberFormat="1" applyFont="1"/>
    <xf numFmtId="0" fontId="49" fillId="0" borderId="0" xfId="0" applyFont="1" applyAlignment="1" applyProtection="1">
      <alignment vertical="center"/>
      <protection hidden="1"/>
    </xf>
    <xf numFmtId="9" fontId="20" fillId="5" borderId="11" xfId="2" applyFont="1" applyFill="1" applyBorder="1" applyAlignment="1" applyProtection="1">
      <alignment horizontal="left" vertical="center"/>
      <protection locked="0"/>
    </xf>
    <xf numFmtId="0" fontId="16" fillId="0" borderId="26" xfId="0" applyFont="1" applyBorder="1" applyAlignment="1" applyProtection="1">
      <alignment vertical="center" wrapText="1"/>
    </xf>
    <xf numFmtId="0" fontId="34" fillId="4" borderId="11" xfId="23" quotePrefix="1" applyFont="1" applyFill="1" applyBorder="1" applyAlignment="1" applyProtection="1">
      <alignment vertical="center" wrapText="1"/>
    </xf>
    <xf numFmtId="9" fontId="34" fillId="4" borderId="9" xfId="23" applyNumberFormat="1" applyFont="1" applyFill="1" applyBorder="1" applyAlignment="1" applyProtection="1">
      <alignment horizontal="left" vertical="center"/>
    </xf>
    <xf numFmtId="0" fontId="33" fillId="0" borderId="0" xfId="24" applyFont="1" applyFill="1" applyAlignment="1" applyProtection="1">
      <alignment horizontal="left" vertical="center"/>
    </xf>
    <xf numFmtId="0" fontId="0" fillId="0" borderId="0" xfId="0" applyFont="1" applyAlignment="1" applyProtection="1">
      <alignment horizontal="left" vertical="center" wrapText="1"/>
    </xf>
    <xf numFmtId="0" fontId="0" fillId="0" borderId="0" xfId="0" applyFont="1" applyAlignment="1" applyProtection="1">
      <alignment vertical="center" wrapText="1"/>
    </xf>
    <xf numFmtId="0" fontId="0" fillId="0" borderId="0" xfId="0" applyFont="1" applyAlignment="1" applyProtection="1">
      <alignment horizontal="left" vertical="center"/>
    </xf>
    <xf numFmtId="0" fontId="9" fillId="22" borderId="33" xfId="0" applyFont="1" applyFill="1" applyBorder="1" applyAlignment="1" applyProtection="1">
      <alignment horizontal="left" vertical="center"/>
    </xf>
    <xf numFmtId="0" fontId="0" fillId="8" borderId="2" xfId="0" applyFont="1" applyFill="1" applyBorder="1" applyAlignment="1" applyProtection="1">
      <alignment horizontal="left" vertical="center" wrapText="1"/>
    </xf>
    <xf numFmtId="0" fontId="0" fillId="8" borderId="2" xfId="0" applyFont="1" applyFill="1" applyBorder="1" applyAlignment="1" applyProtection="1">
      <alignment vertical="center" wrapText="1"/>
    </xf>
    <xf numFmtId="0" fontId="19" fillId="8" borderId="2" xfId="0" applyFont="1" applyFill="1" applyBorder="1" applyAlignment="1" applyProtection="1">
      <alignment horizontal="left" vertical="center"/>
    </xf>
    <xf numFmtId="0" fontId="0" fillId="8" borderId="53" xfId="0" applyFont="1" applyFill="1" applyBorder="1" applyAlignment="1" applyProtection="1">
      <alignment horizontal="left" vertical="center" wrapText="1"/>
    </xf>
    <xf numFmtId="0" fontId="26" fillId="8" borderId="48" xfId="0" applyFont="1" applyFill="1" applyBorder="1" applyAlignment="1" applyProtection="1">
      <alignment horizontal="center" vertical="center"/>
    </xf>
    <xf numFmtId="0" fontId="21" fillId="0" borderId="0" xfId="0" applyFont="1" applyAlignment="1" applyProtection="1">
      <alignment vertical="center" wrapText="1"/>
    </xf>
    <xf numFmtId="0" fontId="9" fillId="5" borderId="9" xfId="0" applyFont="1" applyFill="1" applyBorder="1" applyAlignment="1" applyProtection="1">
      <alignment vertical="center" wrapText="1"/>
    </xf>
    <xf numFmtId="0" fontId="65" fillId="10" borderId="9" xfId="40" applyFont="1" applyBorder="1" applyAlignment="1" applyProtection="1">
      <alignment vertical="center" wrapText="1"/>
    </xf>
    <xf numFmtId="2" fontId="66" fillId="4" borderId="9" xfId="23" applyNumberFormat="1" applyFont="1" applyFill="1" applyBorder="1" applyAlignment="1" applyProtection="1">
      <alignment horizontal="left" vertical="center"/>
    </xf>
    <xf numFmtId="2" fontId="67" fillId="0" borderId="9" xfId="23" applyNumberFormat="1" applyFont="1" applyFill="1" applyBorder="1" applyAlignment="1" applyProtection="1">
      <alignment horizontal="left" vertical="center"/>
    </xf>
    <xf numFmtId="0" fontId="16" fillId="5" borderId="11" xfId="0" applyFont="1" applyFill="1" applyBorder="1" applyAlignment="1" applyProtection="1">
      <alignment horizontal="left" vertical="center" wrapText="1"/>
      <protection locked="0"/>
    </xf>
    <xf numFmtId="0" fontId="16" fillId="5" borderId="26" xfId="0" applyFont="1" applyFill="1" applyBorder="1" applyAlignment="1" applyProtection="1">
      <alignment vertical="center" wrapText="1"/>
      <protection locked="0"/>
    </xf>
    <xf numFmtId="0" fontId="20" fillId="5" borderId="26" xfId="0" applyFont="1" applyFill="1" applyBorder="1" applyAlignment="1" applyProtection="1">
      <alignment horizontal="left" vertical="center" wrapText="1"/>
      <protection locked="0"/>
    </xf>
    <xf numFmtId="0" fontId="20" fillId="5" borderId="27" xfId="0" applyFont="1" applyFill="1" applyBorder="1" applyAlignment="1" applyProtection="1">
      <alignment horizontal="left" vertical="center" wrapText="1"/>
      <protection locked="0"/>
    </xf>
    <xf numFmtId="0" fontId="20" fillId="5" borderId="28" xfId="0" applyFont="1" applyFill="1" applyBorder="1" applyAlignment="1" applyProtection="1">
      <alignment horizontal="left" vertical="center" wrapText="1"/>
      <protection locked="0"/>
    </xf>
    <xf numFmtId="0" fontId="10" fillId="0" borderId="0" xfId="0" applyFont="1" applyFill="1" applyAlignment="1" applyProtection="1">
      <alignment horizontal="left" vertical="center"/>
    </xf>
    <xf numFmtId="0" fontId="9" fillId="0" borderId="0" xfId="0" applyFont="1" applyAlignment="1" applyProtection="1">
      <alignment horizontal="left" vertical="center"/>
    </xf>
    <xf numFmtId="0" fontId="10" fillId="0" borderId="0" xfId="0" applyFont="1" applyFill="1" applyBorder="1" applyAlignment="1" applyProtection="1">
      <alignment horizontal="left" vertical="center"/>
    </xf>
    <xf numFmtId="0" fontId="19" fillId="9" borderId="34" xfId="0" applyFont="1" applyFill="1" applyBorder="1" applyAlignment="1" applyProtection="1">
      <alignment horizontal="center" vertical="center"/>
    </xf>
    <xf numFmtId="0" fontId="19" fillId="9" borderId="9" xfId="0" applyFont="1" applyFill="1" applyBorder="1" applyAlignment="1" applyProtection="1">
      <alignment horizontal="left" vertical="center" wrapText="1"/>
    </xf>
    <xf numFmtId="0" fontId="19" fillId="9" borderId="9" xfId="0" applyFont="1" applyFill="1" applyBorder="1" applyAlignment="1" applyProtection="1">
      <alignment vertical="center" wrapText="1"/>
    </xf>
    <xf numFmtId="0" fontId="19" fillId="9" borderId="9" xfId="0" applyFont="1" applyFill="1" applyBorder="1" applyAlignment="1" applyProtection="1">
      <alignment horizontal="left" vertical="center"/>
    </xf>
    <xf numFmtId="0" fontId="26" fillId="9" borderId="15" xfId="0" applyFont="1" applyFill="1" applyBorder="1" applyAlignment="1" applyProtection="1">
      <alignment horizontal="center" vertical="center"/>
    </xf>
    <xf numFmtId="0" fontId="20" fillId="0" borderId="35" xfId="0" applyFont="1" applyFill="1" applyBorder="1" applyAlignment="1" applyProtection="1">
      <alignment horizontal="center" vertical="center"/>
    </xf>
    <xf numFmtId="0" fontId="16" fillId="0" borderId="9" xfId="0" applyFont="1" applyBorder="1" applyAlignment="1" applyProtection="1">
      <alignment horizontal="left" vertical="center" wrapText="1"/>
    </xf>
    <xf numFmtId="0" fontId="16" fillId="0" borderId="9" xfId="0" applyFont="1" applyBorder="1" applyAlignment="1" applyProtection="1">
      <alignment vertical="center" wrapText="1"/>
    </xf>
    <xf numFmtId="0" fontId="20" fillId="0" borderId="34" xfId="0" applyFont="1" applyFill="1" applyBorder="1" applyAlignment="1" applyProtection="1">
      <alignment horizontal="center" vertical="center"/>
    </xf>
    <xf numFmtId="168" fontId="16" fillId="0" borderId="34" xfId="0" quotePrefix="1" applyNumberFormat="1" applyFont="1" applyFill="1" applyBorder="1" applyAlignment="1" applyProtection="1">
      <alignment horizontal="center" vertical="center"/>
    </xf>
    <xf numFmtId="0" fontId="20" fillId="0" borderId="9" xfId="0" applyFont="1" applyBorder="1" applyAlignment="1" applyProtection="1">
      <alignment horizontal="left" vertical="center" wrapText="1"/>
    </xf>
    <xf numFmtId="0" fontId="20" fillId="0" borderId="9" xfId="0" applyFont="1" applyBorder="1" applyAlignment="1" applyProtection="1">
      <alignment vertical="center" wrapText="1"/>
    </xf>
    <xf numFmtId="16" fontId="16" fillId="0" borderId="34" xfId="0" quotePrefix="1" applyNumberFormat="1" applyFont="1" applyFill="1" applyBorder="1" applyAlignment="1" applyProtection="1">
      <alignment horizontal="center" vertical="center"/>
    </xf>
    <xf numFmtId="0" fontId="34" fillId="4" borderId="9" xfId="23" applyFont="1" applyFill="1" applyBorder="1" applyAlignment="1" applyProtection="1">
      <alignment horizontal="left" vertical="center" wrapText="1"/>
    </xf>
    <xf numFmtId="0" fontId="34" fillId="4" borderId="9" xfId="23" applyFont="1" applyFill="1" applyBorder="1" applyAlignment="1" applyProtection="1">
      <alignment vertical="center" wrapText="1"/>
    </xf>
    <xf numFmtId="0" fontId="9" fillId="22" borderId="34" xfId="0" applyFont="1" applyFill="1" applyBorder="1" applyAlignment="1" applyProtection="1">
      <alignment horizontal="left" vertical="center"/>
    </xf>
    <xf numFmtId="0" fontId="12" fillId="8" borderId="12" xfId="0" applyFont="1" applyFill="1" applyBorder="1" applyAlignment="1" applyProtection="1">
      <alignment horizontal="left" vertical="center" wrapText="1"/>
    </xf>
    <xf numFmtId="0" fontId="12" fillId="8" borderId="12" xfId="0" applyFont="1" applyFill="1" applyBorder="1" applyAlignment="1" applyProtection="1">
      <alignment vertical="center" wrapText="1"/>
    </xf>
    <xf numFmtId="0" fontId="19" fillId="8" borderId="12" xfId="0" applyFont="1" applyFill="1" applyBorder="1" applyAlignment="1" applyProtection="1">
      <alignment horizontal="left" vertical="center"/>
    </xf>
    <xf numFmtId="0" fontId="26" fillId="9" borderId="10" xfId="0" applyFont="1" applyFill="1" applyBorder="1" applyAlignment="1" applyProtection="1">
      <alignment horizontal="center" vertical="center"/>
    </xf>
    <xf numFmtId="0" fontId="16" fillId="0" borderId="34" xfId="0" applyFont="1" applyFill="1" applyBorder="1" applyAlignment="1" applyProtection="1">
      <alignment horizontal="center" vertical="center"/>
    </xf>
    <xf numFmtId="168" fontId="16" fillId="0" borderId="34" xfId="0" applyNumberFormat="1" applyFont="1" applyFill="1" applyBorder="1" applyAlignment="1" applyProtection="1">
      <alignment horizontal="center" vertical="center"/>
    </xf>
    <xf numFmtId="9" fontId="34" fillId="4" borderId="11" xfId="2" quotePrefix="1" applyFont="1" applyFill="1" applyBorder="1" applyAlignment="1" applyProtection="1">
      <alignment horizontal="left" vertical="center" wrapText="1"/>
    </xf>
    <xf numFmtId="0" fontId="34" fillId="4" borderId="26" xfId="23" quotePrefix="1" applyFont="1" applyFill="1" applyBorder="1" applyAlignment="1" applyProtection="1">
      <alignment horizontal="left" vertical="center" wrapText="1"/>
    </xf>
    <xf numFmtId="0" fontId="34" fillId="4" borderId="27" xfId="23" quotePrefix="1" applyFont="1" applyFill="1" applyBorder="1" applyAlignment="1" applyProtection="1">
      <alignment horizontal="left" vertical="center" wrapText="1"/>
    </xf>
    <xf numFmtId="0" fontId="34" fillId="4" borderId="28" xfId="23" quotePrefix="1" applyFont="1" applyFill="1" applyBorder="1" applyAlignment="1" applyProtection="1">
      <alignment horizontal="left" vertical="center" wrapText="1"/>
    </xf>
    <xf numFmtId="0" fontId="16" fillId="0" borderId="34" xfId="0" quotePrefix="1" applyFont="1" applyFill="1" applyBorder="1" applyAlignment="1" applyProtection="1">
      <alignment horizontal="center" vertical="center"/>
    </xf>
    <xf numFmtId="9" fontId="34" fillId="4" borderId="11" xfId="2" quotePrefix="1" applyNumberFormat="1" applyFont="1" applyFill="1" applyBorder="1" applyAlignment="1" applyProtection="1">
      <alignment horizontal="left" vertical="center" wrapText="1"/>
    </xf>
    <xf numFmtId="167" fontId="20" fillId="4" borderId="10" xfId="1" applyNumberFormat="1" applyFont="1" applyFill="1" applyBorder="1" applyAlignment="1" applyProtection="1">
      <alignment horizontal="center" vertical="center"/>
    </xf>
    <xf numFmtId="0" fontId="12" fillId="8" borderId="13" xfId="0" applyFont="1" applyFill="1" applyBorder="1" applyAlignment="1" applyProtection="1">
      <alignment horizontal="left" vertical="center" wrapText="1"/>
    </xf>
    <xf numFmtId="0" fontId="19" fillId="9" borderId="22" xfId="0" applyFont="1" applyFill="1" applyBorder="1" applyAlignment="1" applyProtection="1">
      <alignment vertical="center" wrapText="1"/>
    </xf>
    <xf numFmtId="0" fontId="19" fillId="9" borderId="22" xfId="0" applyFont="1" applyFill="1" applyBorder="1" applyAlignment="1" applyProtection="1">
      <alignment horizontal="left" vertical="center"/>
    </xf>
    <xf numFmtId="0" fontId="20" fillId="0" borderId="22" xfId="0" applyFont="1" applyBorder="1" applyAlignment="1" applyProtection="1">
      <alignment vertical="center" wrapText="1"/>
    </xf>
    <xf numFmtId="0" fontId="12" fillId="8" borderId="0" xfId="0" applyFont="1" applyFill="1" applyBorder="1" applyAlignment="1" applyProtection="1">
      <alignment horizontal="left" vertical="center" wrapText="1"/>
    </xf>
    <xf numFmtId="0" fontId="12" fillId="8" borderId="0" xfId="0" applyFont="1" applyFill="1" applyBorder="1" applyAlignment="1" applyProtection="1">
      <alignment vertical="center" wrapText="1"/>
    </xf>
    <xf numFmtId="0" fontId="16" fillId="0" borderId="9" xfId="0" applyFont="1" applyBorder="1" applyAlignment="1" applyProtection="1">
      <alignment horizontal="left" vertical="center"/>
    </xf>
    <xf numFmtId="0" fontId="20" fillId="0" borderId="9" xfId="0" applyFont="1" applyBorder="1" applyAlignment="1" applyProtection="1">
      <alignment horizontal="left" vertical="center"/>
    </xf>
    <xf numFmtId="0" fontId="20" fillId="0" borderId="20" xfId="0" applyFont="1" applyBorder="1" applyAlignment="1" applyProtection="1">
      <alignment vertical="center" wrapText="1"/>
    </xf>
    <xf numFmtId="0" fontId="16" fillId="5" borderId="26" xfId="0" applyFont="1" applyFill="1" applyBorder="1" applyAlignment="1" applyProtection="1">
      <alignment horizontal="left" vertical="center" wrapText="1"/>
      <protection locked="0"/>
    </xf>
    <xf numFmtId="0" fontId="16" fillId="5" borderId="27" xfId="0" applyFont="1" applyFill="1" applyBorder="1" applyAlignment="1" applyProtection="1">
      <alignment horizontal="left" vertical="center" wrapText="1"/>
      <protection locked="0"/>
    </xf>
    <xf numFmtId="0" fontId="16" fillId="5" borderId="28" xfId="0" applyFont="1" applyFill="1" applyBorder="1" applyAlignment="1" applyProtection="1">
      <alignment horizontal="left" vertical="center" wrapText="1"/>
      <protection locked="0"/>
    </xf>
    <xf numFmtId="9" fontId="16" fillId="5" borderId="9" xfId="0" applyNumberFormat="1" applyFont="1" applyFill="1" applyBorder="1" applyAlignment="1" applyProtection="1">
      <alignment horizontal="left" vertical="center"/>
      <protection locked="0"/>
    </xf>
    <xf numFmtId="0" fontId="20" fillId="5" borderId="11" xfId="0" applyFont="1" applyFill="1" applyBorder="1" applyAlignment="1" applyProtection="1">
      <alignment horizontal="left" vertical="center" wrapText="1"/>
      <protection locked="0"/>
    </xf>
    <xf numFmtId="0" fontId="0" fillId="0" borderId="0" xfId="0" applyFont="1" applyFill="1" applyAlignment="1" applyProtection="1">
      <alignment horizontal="center" vertical="center"/>
      <protection locked="0"/>
    </xf>
    <xf numFmtId="0" fontId="0" fillId="0" borderId="0" xfId="0" applyFont="1" applyAlignment="1" applyProtection="1">
      <alignment horizontal="left" vertical="center" wrapText="1"/>
      <protection locked="0"/>
    </xf>
    <xf numFmtId="0" fontId="0" fillId="0" borderId="0" xfId="0" applyFont="1" applyAlignment="1" applyProtection="1">
      <alignment vertical="center" wrapText="1"/>
      <protection locked="0"/>
    </xf>
    <xf numFmtId="0" fontId="0" fillId="0" borderId="0" xfId="0" applyFont="1" applyAlignment="1" applyProtection="1">
      <alignment horizontal="left" vertical="center"/>
      <protection locked="0"/>
    </xf>
    <xf numFmtId="0" fontId="17" fillId="0" borderId="0" xfId="0" applyFont="1" applyBorder="1" applyAlignment="1" applyProtection="1">
      <alignment horizontal="center" vertical="center"/>
      <protection locked="0"/>
    </xf>
    <xf numFmtId="0" fontId="55" fillId="0" borderId="0" xfId="0" applyFont="1" applyAlignment="1" applyProtection="1">
      <alignment horizontal="left" vertical="center"/>
      <protection locked="0"/>
    </xf>
    <xf numFmtId="1" fontId="0" fillId="0" borderId="0" xfId="0" applyNumberFormat="1" applyFont="1" applyAlignment="1" applyProtection="1">
      <alignment horizontal="left" vertical="center"/>
      <protection locked="0"/>
    </xf>
    <xf numFmtId="171" fontId="0" fillId="0" borderId="0" xfId="0" applyNumberFormat="1" applyFont="1" applyAlignment="1" applyProtection="1">
      <alignment horizontal="left" vertical="center"/>
      <protection locked="0"/>
    </xf>
    <xf numFmtId="0" fontId="25" fillId="0" borderId="0" xfId="23" applyFont="1" applyAlignment="1" applyProtection="1">
      <alignment horizontal="left" vertical="center"/>
      <protection locked="0"/>
    </xf>
    <xf numFmtId="0" fontId="20" fillId="0" borderId="0" xfId="0" applyFont="1" applyAlignment="1" applyProtection="1">
      <alignment vertical="top" wrapText="1"/>
      <protection locked="0"/>
    </xf>
    <xf numFmtId="0" fontId="16" fillId="0" borderId="0" xfId="0" applyFont="1" applyBorder="1" applyAlignment="1" applyProtection="1">
      <alignment vertical="center" wrapText="1"/>
      <protection locked="0"/>
    </xf>
    <xf numFmtId="169" fontId="20" fillId="0" borderId="0" xfId="0" applyNumberFormat="1" applyFont="1" applyAlignment="1" applyProtection="1">
      <alignment vertical="top" wrapText="1"/>
      <protection locked="0"/>
    </xf>
    <xf numFmtId="0" fontId="25" fillId="0" borderId="0" xfId="23" applyFont="1" applyAlignment="1" applyProtection="1">
      <alignment vertical="center"/>
      <protection locked="0"/>
    </xf>
    <xf numFmtId="0" fontId="0" fillId="0" borderId="0" xfId="0" applyFont="1" applyBorder="1" applyAlignment="1" applyProtection="1">
      <alignment horizontal="left" vertical="center"/>
      <protection locked="0"/>
    </xf>
    <xf numFmtId="10" fontId="16" fillId="0" borderId="0" xfId="14" applyNumberFormat="1" applyFont="1" applyFill="1" applyBorder="1" applyAlignment="1" applyProtection="1">
      <alignment horizontal="center" vertical="center"/>
      <protection locked="0"/>
    </xf>
    <xf numFmtId="0" fontId="38" fillId="0" borderId="0" xfId="0" applyFont="1" applyAlignment="1" applyProtection="1">
      <alignment horizontal="left" vertical="center"/>
      <protection locked="0"/>
    </xf>
    <xf numFmtId="169" fontId="16" fillId="0" borderId="0" xfId="0" applyNumberFormat="1" applyFont="1" applyFill="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170" fontId="16" fillId="0" borderId="0" xfId="0" applyNumberFormat="1" applyFont="1" applyAlignment="1" applyProtection="1">
      <alignment horizontal="left" vertical="center" wrapText="1"/>
      <protection locked="0"/>
    </xf>
    <xf numFmtId="0" fontId="25" fillId="0" borderId="0" xfId="23"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0" xfId="0" applyFont="1" applyAlignment="1" applyProtection="1">
      <alignment vertical="center" wrapText="1"/>
      <protection locked="0"/>
    </xf>
    <xf numFmtId="0" fontId="16" fillId="0" borderId="0" xfId="0" applyFont="1" applyBorder="1" applyAlignment="1" applyProtection="1">
      <alignment horizontal="left" vertical="center" wrapText="1"/>
      <protection locked="0"/>
    </xf>
    <xf numFmtId="0" fontId="16" fillId="0" borderId="0" xfId="0"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16" fillId="5" borderId="10" xfId="0" applyFont="1" applyFill="1" applyBorder="1" applyAlignment="1" applyProtection="1">
      <alignment horizontal="left" vertical="center" wrapText="1"/>
      <protection locked="0"/>
    </xf>
    <xf numFmtId="0" fontId="16" fillId="5" borderId="10" xfId="0" applyFont="1" applyFill="1" applyBorder="1" applyAlignment="1" applyProtection="1">
      <alignment vertical="center" wrapText="1"/>
      <protection locked="0"/>
    </xf>
    <xf numFmtId="0" fontId="20" fillId="5" borderId="14" xfId="0" applyFont="1" applyFill="1" applyBorder="1" applyAlignment="1" applyProtection="1">
      <alignment horizontal="left" vertical="center" wrapText="1"/>
      <protection locked="0"/>
    </xf>
    <xf numFmtId="0" fontId="20" fillId="5" borderId="16"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16" fillId="5" borderId="14" xfId="0" applyFont="1" applyFill="1" applyBorder="1" applyAlignment="1" applyProtection="1">
      <alignment horizontal="left" vertical="center" wrapText="1"/>
      <protection locked="0"/>
    </xf>
    <xf numFmtId="0" fontId="16" fillId="5" borderId="16" xfId="0" applyFont="1" applyFill="1" applyBorder="1" applyAlignment="1" applyProtection="1">
      <alignment horizontal="left" vertical="center" wrapText="1"/>
      <protection locked="0"/>
    </xf>
    <xf numFmtId="0" fontId="16" fillId="5" borderId="1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0" fontId="24" fillId="5" borderId="16" xfId="0" applyFont="1" applyFill="1" applyBorder="1" applyAlignment="1" applyProtection="1">
      <alignment horizontal="left" vertical="center" wrapText="1"/>
      <protection locked="0"/>
    </xf>
    <xf numFmtId="0" fontId="24" fillId="5" borderId="15" xfId="0" applyFont="1" applyFill="1" applyBorder="1" applyAlignment="1" applyProtection="1">
      <alignment horizontal="left" vertical="center" wrapText="1"/>
      <protection locked="0"/>
    </xf>
    <xf numFmtId="0" fontId="0" fillId="8" borderId="3" xfId="0" applyFont="1" applyFill="1" applyBorder="1" applyAlignment="1" applyProtection="1">
      <alignment horizontal="left" vertical="center" wrapText="1"/>
    </xf>
    <xf numFmtId="167" fontId="29" fillId="4" borderId="9" xfId="23" applyNumberFormat="1" applyFill="1" applyBorder="1" applyAlignment="1" applyProtection="1">
      <alignment horizontal="left" vertical="center"/>
    </xf>
    <xf numFmtId="2" fontId="29" fillId="4" borderId="9" xfId="23" applyNumberFormat="1" applyFill="1" applyBorder="1" applyAlignment="1" applyProtection="1">
      <alignment horizontal="left" vertical="center"/>
    </xf>
    <xf numFmtId="9" fontId="29" fillId="4" borderId="9" xfId="23" applyNumberFormat="1" applyFill="1" applyBorder="1" applyAlignment="1" applyProtection="1">
      <alignment horizontal="left" vertical="center"/>
    </xf>
    <xf numFmtId="0" fontId="34" fillId="4" borderId="10" xfId="23" quotePrefix="1" applyFont="1" applyFill="1" applyBorder="1" applyAlignment="1" applyProtection="1">
      <alignment vertical="center" wrapText="1"/>
    </xf>
    <xf numFmtId="0" fontId="19" fillId="8" borderId="0" xfId="0" applyFont="1" applyFill="1" applyBorder="1" applyAlignment="1" applyProtection="1">
      <alignment horizontal="left" vertical="center"/>
    </xf>
    <xf numFmtId="0" fontId="12" fillId="8" borderId="5" xfId="0" applyFont="1" applyFill="1" applyBorder="1" applyAlignment="1" applyProtection="1">
      <alignment vertical="center" wrapText="1"/>
    </xf>
    <xf numFmtId="9" fontId="29" fillId="4" borderId="9" xfId="2" applyFont="1" applyFill="1" applyBorder="1" applyAlignment="1" applyProtection="1">
      <alignment horizontal="left" vertical="center"/>
    </xf>
    <xf numFmtId="9" fontId="29" fillId="4" borderId="11" xfId="23" applyNumberFormat="1" applyFill="1" applyBorder="1" applyAlignment="1" applyProtection="1">
      <alignment horizontal="left" vertical="center"/>
    </xf>
    <xf numFmtId="9" fontId="29" fillId="4" borderId="11" xfId="2" applyFont="1" applyFill="1" applyBorder="1" applyAlignment="1" applyProtection="1">
      <alignment horizontal="left" vertical="center"/>
    </xf>
    <xf numFmtId="0" fontId="34" fillId="4" borderId="14" xfId="23" quotePrefix="1" applyFont="1" applyFill="1" applyBorder="1" applyAlignment="1" applyProtection="1">
      <alignment vertical="center" wrapText="1"/>
    </xf>
    <xf numFmtId="0" fontId="34" fillId="4" borderId="16" xfId="23" quotePrefix="1" applyFont="1" applyFill="1" applyBorder="1" applyAlignment="1" applyProtection="1">
      <alignment vertical="center" wrapText="1"/>
    </xf>
    <xf numFmtId="0" fontId="34" fillId="4" borderId="16" xfId="23" quotePrefix="1" applyFont="1" applyFill="1" applyBorder="1" applyAlignment="1" applyProtection="1">
      <alignment horizontal="left" vertical="center" wrapText="1"/>
    </xf>
    <xf numFmtId="0" fontId="34" fillId="4" borderId="15" xfId="23" quotePrefix="1" applyFont="1" applyFill="1" applyBorder="1" applyAlignment="1" applyProtection="1">
      <alignment horizontal="left" vertical="center" wrapText="1"/>
    </xf>
    <xf numFmtId="168" fontId="29" fillId="4" borderId="9" xfId="23" applyNumberFormat="1" applyFill="1" applyBorder="1" applyAlignment="1" applyProtection="1">
      <alignment horizontal="left" vertical="center"/>
    </xf>
    <xf numFmtId="0" fontId="0" fillId="0" borderId="0" xfId="0"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Border="1" applyProtection="1">
      <protection locked="0"/>
    </xf>
    <xf numFmtId="0" fontId="0" fillId="0" borderId="0" xfId="0" applyFill="1" applyBorder="1" applyProtection="1">
      <protection locked="0"/>
    </xf>
    <xf numFmtId="0" fontId="9" fillId="0" borderId="0" xfId="0" applyFont="1" applyFill="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0" xfId="0" applyFont="1" applyBorder="1" applyAlignment="1" applyProtection="1">
      <alignment vertical="center"/>
      <protection locked="0"/>
    </xf>
    <xf numFmtId="3" fontId="0"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0" xfId="0" applyFont="1" applyBorder="1" applyProtection="1">
      <protection locked="0"/>
    </xf>
    <xf numFmtId="0" fontId="9" fillId="0" borderId="0" xfId="0" applyFont="1" applyFill="1" applyBorder="1" applyProtection="1">
      <protection locked="0"/>
    </xf>
    <xf numFmtId="0" fontId="0"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0" fillId="0" borderId="0" xfId="0" applyBorder="1" applyAlignment="1" applyProtection="1">
      <alignment vertical="center"/>
      <protection locked="0"/>
    </xf>
    <xf numFmtId="3" fontId="0" fillId="0" borderId="0" xfId="0" applyNumberFormat="1" applyBorder="1" applyAlignment="1" applyProtection="1">
      <alignment horizontal="left" vertical="center"/>
      <protection locked="0"/>
    </xf>
    <xf numFmtId="0" fontId="13" fillId="5" borderId="52" xfId="0" applyFont="1" applyFill="1" applyBorder="1" applyProtection="1"/>
    <xf numFmtId="3" fontId="26" fillId="5" borderId="52" xfId="23" applyNumberFormat="1" applyFont="1" applyFill="1" applyBorder="1" applyAlignment="1" applyProtection="1">
      <alignment horizontal="left" vertical="center"/>
    </xf>
    <xf numFmtId="0" fontId="13" fillId="7" borderId="47" xfId="0" applyFont="1" applyFill="1" applyBorder="1" applyAlignment="1" applyProtection="1">
      <alignment horizontal="left" vertical="center"/>
    </xf>
    <xf numFmtId="0" fontId="13" fillId="7" borderId="51" xfId="0" applyFont="1" applyFill="1" applyBorder="1" applyProtection="1"/>
    <xf numFmtId="3" fontId="26" fillId="7" borderId="51" xfId="23" applyNumberFormat="1" applyFont="1" applyFill="1" applyBorder="1" applyAlignment="1" applyProtection="1">
      <alignment horizontal="left" vertical="center"/>
    </xf>
    <xf numFmtId="0" fontId="19" fillId="3" borderId="20" xfId="0" applyFont="1" applyFill="1" applyBorder="1" applyProtection="1"/>
    <xf numFmtId="3" fontId="9" fillId="3" borderId="20" xfId="1" applyNumberFormat="1" applyFont="1" applyFill="1" applyBorder="1" applyAlignment="1" applyProtection="1">
      <alignment horizontal="left" vertical="center"/>
    </xf>
    <xf numFmtId="0" fontId="16" fillId="0" borderId="21" xfId="0" applyFont="1" applyBorder="1" applyProtection="1"/>
    <xf numFmtId="9" fontId="27" fillId="0" borderId="21" xfId="2" applyFont="1" applyBorder="1" applyAlignment="1" applyProtection="1">
      <alignment horizontal="left"/>
    </xf>
    <xf numFmtId="10" fontId="16" fillId="0" borderId="21" xfId="2" applyNumberFormat="1" applyFont="1" applyBorder="1" applyAlignment="1" applyProtection="1">
      <alignment horizontal="left" vertical="center"/>
    </xf>
    <xf numFmtId="0" fontId="19" fillId="0" borderId="22" xfId="0" applyFont="1" applyBorder="1" applyProtection="1"/>
    <xf numFmtId="10" fontId="19" fillId="0" borderId="22" xfId="2" applyNumberFormat="1" applyFont="1" applyBorder="1" applyAlignment="1" applyProtection="1">
      <alignment horizontal="left" vertical="center"/>
    </xf>
    <xf numFmtId="0" fontId="19" fillId="3" borderId="20" xfId="0" applyFont="1" applyFill="1" applyBorder="1" applyAlignment="1" applyProtection="1"/>
    <xf numFmtId="3" fontId="19" fillId="3" borderId="20" xfId="0" applyNumberFormat="1" applyFont="1" applyFill="1" applyBorder="1" applyAlignment="1" applyProtection="1">
      <alignment horizontal="left"/>
    </xf>
    <xf numFmtId="9" fontId="27" fillId="0" borderId="21" xfId="2" applyNumberFormat="1" applyFont="1" applyBorder="1" applyAlignment="1" applyProtection="1">
      <alignment horizontal="left"/>
    </xf>
    <xf numFmtId="10" fontId="16" fillId="0" borderId="21" xfId="2" applyNumberFormat="1" applyFont="1" applyFill="1" applyBorder="1" applyAlignment="1" applyProtection="1">
      <alignment horizontal="left"/>
    </xf>
    <xf numFmtId="10" fontId="19" fillId="0" borderId="22" xfId="2" applyNumberFormat="1" applyFont="1" applyFill="1" applyBorder="1" applyAlignment="1" applyProtection="1">
      <alignment horizontal="left"/>
    </xf>
    <xf numFmtId="0" fontId="26" fillId="3" borderId="20" xfId="0" applyFont="1" applyFill="1" applyBorder="1" applyAlignment="1" applyProtection="1"/>
    <xf numFmtId="0" fontId="27" fillId="0" borderId="21" xfId="0" applyFont="1" applyBorder="1" applyProtection="1"/>
    <xf numFmtId="0" fontId="26" fillId="0" borderId="21" xfId="0" applyFont="1" applyBorder="1" applyProtection="1"/>
    <xf numFmtId="0" fontId="27" fillId="0" borderId="21" xfId="0" applyFont="1" applyBorder="1" applyAlignment="1" applyProtection="1">
      <alignment horizontal="left" vertical="center" wrapText="1"/>
    </xf>
    <xf numFmtId="0" fontId="13" fillId="7" borderId="24" xfId="0" applyFont="1" applyFill="1" applyBorder="1" applyAlignment="1" applyProtection="1">
      <alignment horizontal="left" vertical="center"/>
    </xf>
    <xf numFmtId="0" fontId="13" fillId="7" borderId="9" xfId="0" applyFont="1" applyFill="1" applyBorder="1" applyProtection="1"/>
    <xf numFmtId="3" fontId="26" fillId="7" borderId="9" xfId="23" applyNumberFormat="1" applyFont="1" applyFill="1" applyBorder="1" applyAlignment="1" applyProtection="1">
      <alignment horizontal="left" vertical="center"/>
    </xf>
    <xf numFmtId="3" fontId="16" fillId="0" borderId="21" xfId="1" applyNumberFormat="1" applyFont="1" applyBorder="1" applyAlignment="1" applyProtection="1">
      <alignment horizontal="left" vertical="center"/>
    </xf>
    <xf numFmtId="3" fontId="19" fillId="0" borderId="22" xfId="1" applyNumberFormat="1" applyFont="1" applyBorder="1" applyAlignment="1" applyProtection="1">
      <alignment horizontal="left" vertical="center"/>
    </xf>
    <xf numFmtId="0" fontId="19" fillId="3" borderId="46" xfId="0" applyFont="1" applyFill="1" applyBorder="1" applyProtection="1"/>
    <xf numFmtId="0" fontId="16" fillId="0" borderId="0" xfId="0" applyFont="1" applyBorder="1" applyProtection="1"/>
    <xf numFmtId="0" fontId="19" fillId="0" borderId="0" xfId="0" applyFont="1" applyBorder="1" applyProtection="1"/>
    <xf numFmtId="3" fontId="27" fillId="0" borderId="21" xfId="1" applyNumberFormat="1" applyFont="1" applyFill="1" applyBorder="1" applyAlignment="1" applyProtection="1">
      <alignment horizontal="left"/>
    </xf>
    <xf numFmtId="3" fontId="20" fillId="0" borderId="21" xfId="0" applyNumberFormat="1" applyFont="1" applyFill="1" applyBorder="1" applyAlignment="1" applyProtection="1">
      <alignment horizontal="left" vertical="center" wrapText="1"/>
    </xf>
    <xf numFmtId="0" fontId="19" fillId="3" borderId="39" xfId="0" applyFont="1" applyFill="1" applyBorder="1" applyProtection="1"/>
    <xf numFmtId="3" fontId="19" fillId="0" borderId="21" xfId="1" applyNumberFormat="1" applyFont="1" applyBorder="1" applyAlignment="1" applyProtection="1">
      <alignment horizontal="left" vertical="center"/>
    </xf>
    <xf numFmtId="173" fontId="20" fillId="0" borderId="21" xfId="0" applyNumberFormat="1" applyFont="1" applyFill="1" applyBorder="1" applyAlignment="1" applyProtection="1">
      <alignment horizontal="left" vertical="center" wrapText="1"/>
    </xf>
    <xf numFmtId="173" fontId="16" fillId="0" borderId="21" xfId="1" applyNumberFormat="1" applyFont="1" applyBorder="1" applyAlignment="1" applyProtection="1">
      <alignment horizontal="left" vertical="center"/>
    </xf>
    <xf numFmtId="9" fontId="16" fillId="0" borderId="21" xfId="2" applyFont="1" applyBorder="1" applyAlignment="1" applyProtection="1">
      <alignment horizontal="left" vertical="center"/>
    </xf>
    <xf numFmtId="0" fontId="16" fillId="0" borderId="22" xfId="0" applyFont="1" applyBorder="1" applyProtection="1"/>
    <xf numFmtId="0" fontId="16" fillId="0" borderId="21" xfId="0" applyFont="1" applyBorder="1" applyAlignment="1" applyProtection="1">
      <alignment vertical="center"/>
    </xf>
    <xf numFmtId="3" fontId="16" fillId="0" borderId="22" xfId="1" applyNumberFormat="1" applyFont="1" applyBorder="1" applyAlignment="1" applyProtection="1">
      <alignment horizontal="left" vertical="center"/>
    </xf>
    <xf numFmtId="0" fontId="19" fillId="0" borderId="21" xfId="0" applyFont="1" applyBorder="1" applyProtection="1"/>
    <xf numFmtId="0" fontId="19" fillId="0" borderId="21" xfId="0" applyFont="1" applyBorder="1" applyAlignment="1" applyProtection="1">
      <alignment horizontal="left" vertical="center"/>
    </xf>
    <xf numFmtId="0" fontId="19" fillId="3" borderId="6" xfId="0" applyFont="1" applyFill="1" applyBorder="1" applyAlignment="1" applyProtection="1">
      <alignment horizontal="left" vertical="center" wrapText="1"/>
    </xf>
    <xf numFmtId="0" fontId="19" fillId="0" borderId="40" xfId="0" applyFont="1" applyBorder="1" applyAlignment="1" applyProtection="1">
      <alignment horizontal="left" vertical="center"/>
    </xf>
    <xf numFmtId="3" fontId="16" fillId="0" borderId="40" xfId="1" applyNumberFormat="1" applyFont="1" applyBorder="1" applyAlignment="1" applyProtection="1">
      <alignment horizontal="left" vertical="center"/>
    </xf>
    <xf numFmtId="0" fontId="9" fillId="3" borderId="4" xfId="0" applyFont="1" applyFill="1" applyBorder="1" applyAlignment="1" applyProtection="1">
      <alignment horizontal="left" vertical="center"/>
    </xf>
    <xf numFmtId="0" fontId="9" fillId="3" borderId="0"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16" fillId="0" borderId="4" xfId="0" applyFont="1" applyFill="1" applyBorder="1" applyAlignment="1" applyProtection="1">
      <alignment horizontal="left"/>
    </xf>
    <xf numFmtId="3" fontId="16" fillId="0" borderId="0" xfId="0" applyNumberFormat="1" applyFont="1" applyBorder="1" applyAlignment="1" applyProtection="1">
      <alignment horizontal="center"/>
    </xf>
    <xf numFmtId="3" fontId="16" fillId="0" borderId="5" xfId="0" applyNumberFormat="1" applyFont="1" applyBorder="1" applyAlignment="1" applyProtection="1">
      <alignment horizontal="center"/>
    </xf>
    <xf numFmtId="3" fontId="0" fillId="0" borderId="0" xfId="0" applyNumberFormat="1" applyFont="1" applyBorder="1" applyAlignment="1" applyProtection="1">
      <alignment horizontal="center" vertical="center"/>
    </xf>
    <xf numFmtId="3" fontId="0" fillId="0" borderId="5" xfId="0" applyNumberFormat="1" applyFont="1" applyBorder="1" applyAlignment="1" applyProtection="1">
      <alignment horizontal="center" vertical="center"/>
    </xf>
    <xf numFmtId="3" fontId="16" fillId="0" borderId="4" xfId="0" applyNumberFormat="1" applyFont="1" applyFill="1" applyBorder="1" applyAlignment="1" applyProtection="1">
      <alignment horizontal="left"/>
    </xf>
    <xf numFmtId="0" fontId="16" fillId="0" borderId="50" xfId="0" applyFont="1" applyFill="1" applyBorder="1" applyAlignment="1" applyProtection="1">
      <alignment horizontal="left"/>
    </xf>
    <xf numFmtId="3" fontId="0" fillId="0" borderId="45" xfId="0" applyNumberFormat="1" applyFont="1" applyBorder="1" applyAlignment="1" applyProtection="1">
      <alignment horizontal="center" vertical="center"/>
    </xf>
    <xf numFmtId="3" fontId="0" fillId="0" borderId="25" xfId="0" applyNumberFormat="1"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5" xfId="0" applyFont="1" applyBorder="1" applyAlignment="1" applyProtection="1">
      <alignment horizontal="center" vertical="center"/>
    </xf>
    <xf numFmtId="0" fontId="16" fillId="0" borderId="6" xfId="0" applyFont="1" applyFill="1" applyBorder="1" applyAlignment="1" applyProtection="1">
      <alignment horizontal="left"/>
    </xf>
    <xf numFmtId="3" fontId="0" fillId="0" borderId="7" xfId="0" applyNumberFormat="1" applyFont="1" applyBorder="1" applyAlignment="1" applyProtection="1">
      <alignment horizontal="center" vertical="center"/>
    </xf>
    <xf numFmtId="3" fontId="0" fillId="0" borderId="8" xfId="0" applyNumberFormat="1" applyFont="1" applyBorder="1" applyAlignment="1" applyProtection="1">
      <alignment horizontal="center" vertical="center"/>
    </xf>
    <xf numFmtId="0" fontId="40" fillId="26" borderId="44" xfId="38" applyProtection="1">
      <protection locked="0"/>
    </xf>
    <xf numFmtId="0" fontId="10" fillId="0" borderId="0" xfId="0" applyFont="1" applyFill="1" applyAlignment="1" applyProtection="1">
      <alignment vertical="center"/>
      <protection hidden="1"/>
    </xf>
    <xf numFmtId="0" fontId="42" fillId="0" borderId="0" xfId="0" applyFont="1" applyAlignment="1" applyProtection="1">
      <alignment horizontal="left" vertical="center"/>
      <protection hidden="1"/>
    </xf>
    <xf numFmtId="0" fontId="42" fillId="0" borderId="0" xfId="0" applyFont="1" applyFill="1" applyAlignment="1" applyProtection="1">
      <alignment horizontal="left" vertical="center"/>
      <protection hidden="1"/>
    </xf>
    <xf numFmtId="0" fontId="0" fillId="0" borderId="0" xfId="0" applyAlignment="1" applyProtection="1">
      <alignment horizontal="left"/>
      <protection hidden="1"/>
    </xf>
    <xf numFmtId="0" fontId="50" fillId="0" borderId="0" xfId="0" applyFont="1" applyProtection="1">
      <protection hidden="1"/>
    </xf>
    <xf numFmtId="0" fontId="9" fillId="0" borderId="0" xfId="0" applyFont="1" applyFill="1" applyProtection="1">
      <protection hidden="1"/>
    </xf>
    <xf numFmtId="0" fontId="0" fillId="0" borderId="0" xfId="0" applyFont="1" applyFill="1" applyAlignment="1" applyProtection="1">
      <alignment horizontal="center" vertical="center"/>
      <protection hidden="1"/>
    </xf>
    <xf numFmtId="0" fontId="42" fillId="0" borderId="0" xfId="0" applyFont="1" applyProtection="1">
      <protection hidden="1"/>
    </xf>
    <xf numFmtId="0" fontId="0" fillId="0" borderId="0" xfId="0" applyFill="1" applyProtection="1">
      <protection hidden="1"/>
    </xf>
    <xf numFmtId="0" fontId="19" fillId="0" borderId="0" xfId="0" applyFont="1" applyAlignment="1" applyProtection="1">
      <alignment horizontal="left" vertical="center"/>
      <protection hidden="1"/>
    </xf>
    <xf numFmtId="0" fontId="19" fillId="0" borderId="0" xfId="0" applyFont="1" applyFill="1" applyAlignment="1" applyProtection="1">
      <alignment horizontal="left" vertical="center"/>
      <protection hidden="1"/>
    </xf>
    <xf numFmtId="0" fontId="16" fillId="0" borderId="0" xfId="0" applyFont="1" applyAlignment="1" applyProtection="1">
      <alignment horizontal="left"/>
      <protection hidden="1"/>
    </xf>
    <xf numFmtId="0" fontId="9" fillId="0" borderId="0" xfId="0" applyFont="1" applyFill="1" applyAlignment="1" applyProtection="1">
      <alignment horizontal="left" vertical="center" wrapText="1"/>
      <protection hidden="1"/>
    </xf>
    <xf numFmtId="3" fontId="50" fillId="0" borderId="0" xfId="1" applyNumberFormat="1" applyFont="1" applyFill="1" applyAlignment="1" applyProtection="1">
      <alignment horizontal="left" vertical="center" wrapText="1"/>
      <protection hidden="1"/>
    </xf>
    <xf numFmtId="0" fontId="42" fillId="0" borderId="0" xfId="0" applyFont="1" applyAlignment="1" applyProtection="1">
      <alignment vertical="center"/>
      <protection hidden="1"/>
    </xf>
    <xf numFmtId="0" fontId="0" fillId="0" borderId="0" xfId="0" applyFont="1" applyFill="1" applyAlignment="1" applyProtection="1">
      <alignment vertical="center"/>
      <protection hidden="1"/>
    </xf>
    <xf numFmtId="165" fontId="42" fillId="0" borderId="0" xfId="13" applyNumberFormat="1" applyFont="1" applyAlignment="1" applyProtection="1">
      <alignment horizontal="left" vertical="center"/>
      <protection hidden="1"/>
    </xf>
    <xf numFmtId="165" fontId="42" fillId="0" borderId="0" xfId="13" applyNumberFormat="1" applyFont="1" applyFill="1" applyAlignment="1" applyProtection="1">
      <alignment horizontal="left" vertical="center"/>
      <protection hidden="1"/>
    </xf>
    <xf numFmtId="0" fontId="31" fillId="0" borderId="0" xfId="30" applyFill="1" applyAlignment="1" applyProtection="1">
      <alignment horizontal="left" vertical="center" wrapText="1"/>
      <protection hidden="1"/>
    </xf>
    <xf numFmtId="3" fontId="51" fillId="0" borderId="0" xfId="27" applyNumberFormat="1" applyFont="1" applyFill="1" applyAlignment="1" applyProtection="1">
      <alignment horizontal="left" vertical="center" wrapText="1"/>
      <protection hidden="1"/>
    </xf>
    <xf numFmtId="9" fontId="51" fillId="0" borderId="0" xfId="2" applyFont="1" applyFill="1" applyAlignment="1" applyProtection="1">
      <alignment horizontal="left" vertical="center" wrapText="1"/>
      <protection hidden="1"/>
    </xf>
    <xf numFmtId="0" fontId="52" fillId="0" borderId="0" xfId="0" applyFont="1" applyAlignment="1" applyProtection="1">
      <alignment vertical="center"/>
      <protection hidden="1"/>
    </xf>
    <xf numFmtId="0" fontId="32" fillId="0" borderId="0" xfId="0" applyFont="1" applyFill="1" applyAlignment="1" applyProtection="1">
      <alignment vertical="center"/>
      <protection hidden="1"/>
    </xf>
    <xf numFmtId="165" fontId="52" fillId="0" borderId="0" xfId="13" applyNumberFormat="1" applyFont="1" applyAlignment="1" applyProtection="1">
      <alignment horizontal="left" vertical="center"/>
      <protection hidden="1"/>
    </xf>
    <xf numFmtId="165" fontId="52" fillId="0" borderId="0" xfId="13" applyNumberFormat="1" applyFont="1" applyFill="1" applyAlignment="1" applyProtection="1">
      <alignment horizontal="left" vertical="center"/>
      <protection hidden="1"/>
    </xf>
    <xf numFmtId="0" fontId="0" fillId="0" borderId="0" xfId="0" applyFont="1" applyFill="1" applyAlignment="1" applyProtection="1">
      <alignment horizontal="left" vertical="center" wrapText="1"/>
      <protection hidden="1"/>
    </xf>
    <xf numFmtId="3" fontId="51" fillId="0" borderId="0" xfId="32" applyNumberFormat="1" applyFont="1" applyFill="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165" fontId="51" fillId="0" borderId="0" xfId="35" applyNumberFormat="1" applyFont="1" applyFill="1" applyAlignment="1" applyProtection="1">
      <alignment vertical="center" wrapText="1"/>
      <protection hidden="1"/>
    </xf>
    <xf numFmtId="165" fontId="51" fillId="0" borderId="0" xfId="35" applyNumberFormat="1" applyFont="1" applyFill="1" applyAlignment="1" applyProtection="1">
      <alignment horizontal="left" vertical="center" wrapText="1"/>
      <protection hidden="1"/>
    </xf>
    <xf numFmtId="0" fontId="22" fillId="0" borderId="0" xfId="0" applyFont="1" applyFill="1" applyAlignment="1" applyProtection="1">
      <alignment horizontal="left" vertical="center" wrapText="1"/>
      <protection hidden="1"/>
    </xf>
    <xf numFmtId="3" fontId="52" fillId="0" borderId="0" xfId="37" applyNumberFormat="1" applyFont="1" applyFill="1" applyAlignment="1" applyProtection="1">
      <alignment horizontal="left" vertical="center" wrapText="1"/>
      <protection hidden="1"/>
    </xf>
    <xf numFmtId="0" fontId="23" fillId="0" borderId="0" xfId="0" applyFont="1" applyFill="1" applyAlignment="1" applyProtection="1">
      <alignment horizontal="left" vertical="center" wrapText="1"/>
      <protection hidden="1"/>
    </xf>
    <xf numFmtId="3" fontId="52" fillId="0" borderId="0" xfId="36" applyNumberFormat="1" applyFont="1" applyFill="1" applyAlignment="1" applyProtection="1">
      <alignment horizontal="left" vertical="center" wrapText="1"/>
      <protection hidden="1"/>
    </xf>
    <xf numFmtId="3" fontId="52" fillId="0" borderId="0" xfId="13" applyNumberFormat="1" applyFont="1" applyAlignment="1" applyProtection="1">
      <alignment horizontal="left" vertical="center"/>
      <protection hidden="1"/>
    </xf>
    <xf numFmtId="3" fontId="52" fillId="0" borderId="0" xfId="13" applyNumberFormat="1" applyFont="1" applyFill="1" applyAlignment="1" applyProtection="1">
      <alignment horizontal="left" vertical="center"/>
      <protection hidden="1"/>
    </xf>
    <xf numFmtId="3" fontId="51" fillId="0" borderId="0" xfId="31" applyNumberFormat="1" applyFont="1" applyFill="1" applyAlignment="1" applyProtection="1">
      <alignment horizontal="left" vertical="center" wrapText="1"/>
      <protection hidden="1"/>
    </xf>
    <xf numFmtId="3" fontId="42" fillId="0" borderId="0" xfId="13" applyNumberFormat="1" applyFont="1" applyAlignment="1" applyProtection="1">
      <alignment horizontal="left" vertical="center"/>
      <protection hidden="1"/>
    </xf>
    <xf numFmtId="3" fontId="42" fillId="0" borderId="0" xfId="13" applyNumberFormat="1" applyFont="1" applyFill="1" applyAlignment="1" applyProtection="1">
      <alignment horizontal="left" vertical="center"/>
      <protection hidden="1"/>
    </xf>
    <xf numFmtId="3" fontId="53" fillId="2" borderId="0" xfId="35" applyNumberFormat="1" applyFont="1" applyFill="1" applyAlignment="1" applyProtection="1">
      <alignment horizontal="left" vertical="center" wrapText="1"/>
      <protection hidden="1"/>
    </xf>
    <xf numFmtId="0" fontId="53" fillId="0" borderId="0" xfId="0" applyFont="1" applyFill="1" applyAlignment="1" applyProtection="1">
      <alignment horizontal="left" vertical="center"/>
      <protection hidden="1"/>
    </xf>
    <xf numFmtId="3" fontId="53" fillId="2" borderId="0" xfId="36" applyNumberFormat="1" applyFont="1" applyFill="1" applyAlignment="1" applyProtection="1">
      <alignment horizontal="left" vertical="center" wrapText="1"/>
      <protection hidden="1"/>
    </xf>
    <xf numFmtId="0" fontId="36" fillId="0" borderId="0" xfId="0" applyFont="1" applyAlignment="1" applyProtection="1">
      <alignment horizontal="left"/>
      <protection hidden="1"/>
    </xf>
    <xf numFmtId="0" fontId="53" fillId="2" borderId="0" xfId="36" applyFont="1" applyFill="1" applyAlignment="1" applyProtection="1">
      <alignment horizontal="left" vertical="center" wrapText="1"/>
      <protection hidden="1"/>
    </xf>
    <xf numFmtId="9" fontId="53" fillId="2" borderId="0" xfId="2" applyFont="1" applyFill="1" applyAlignment="1" applyProtection="1">
      <alignment horizontal="left" vertical="center" wrapText="1"/>
      <protection hidden="1"/>
    </xf>
    <xf numFmtId="0" fontId="53" fillId="2" borderId="0" xfId="32" applyFont="1" applyFill="1" applyAlignment="1" applyProtection="1">
      <alignment horizontal="left" vertical="center" wrapText="1"/>
      <protection hidden="1"/>
    </xf>
    <xf numFmtId="3" fontId="52" fillId="0" borderId="0" xfId="32" applyNumberFormat="1" applyFont="1" applyFill="1" applyAlignment="1" applyProtection="1">
      <alignment horizontal="left" vertical="center" wrapText="1"/>
      <protection hidden="1"/>
    </xf>
    <xf numFmtId="0" fontId="9" fillId="0" borderId="0" xfId="0" applyFont="1" applyBorder="1" applyAlignment="1" applyProtection="1">
      <alignment vertical="center"/>
      <protection hidden="1"/>
    </xf>
    <xf numFmtId="0" fontId="50" fillId="0" borderId="0" xfId="0" applyFont="1" applyAlignment="1" applyProtection="1">
      <alignment horizontal="left" vertical="center"/>
      <protection hidden="1"/>
    </xf>
    <xf numFmtId="3" fontId="51" fillId="0" borderId="0" xfId="32" applyNumberFormat="1" applyFont="1" applyFill="1" applyAlignment="1" applyProtection="1">
      <alignment vertical="center" wrapText="1"/>
      <protection hidden="1"/>
    </xf>
    <xf numFmtId="0" fontId="42" fillId="0" borderId="0" xfId="0" applyFont="1" applyFill="1" applyAlignment="1" applyProtection="1">
      <alignment vertical="center"/>
      <protection hidden="1"/>
    </xf>
    <xf numFmtId="9" fontId="42" fillId="0" borderId="0" xfId="2" applyFont="1" applyFill="1" applyAlignment="1" applyProtection="1">
      <alignment horizontal="left" vertical="center"/>
      <protection hidden="1"/>
    </xf>
    <xf numFmtId="0" fontId="16" fillId="0" borderId="0" xfId="0" applyFont="1" applyFill="1" applyAlignment="1" applyProtection="1">
      <alignment horizontal="left"/>
      <protection hidden="1"/>
    </xf>
    <xf numFmtId="0" fontId="33" fillId="0" borderId="0" xfId="0" applyFont="1" applyFill="1" applyAlignment="1" applyProtection="1">
      <alignment horizontal="left" vertical="center" wrapText="1"/>
      <protection hidden="1"/>
    </xf>
    <xf numFmtId="3" fontId="52" fillId="0" borderId="0" xfId="34" applyNumberFormat="1" applyFont="1" applyFill="1" applyAlignment="1" applyProtection="1">
      <alignment horizontal="left" vertical="center" wrapText="1"/>
      <protection hidden="1"/>
    </xf>
    <xf numFmtId="3" fontId="52" fillId="0" borderId="0" xfId="33" applyNumberFormat="1" applyFont="1" applyFill="1" applyAlignment="1" applyProtection="1">
      <alignment horizontal="left" vertical="center" wrapText="1"/>
      <protection hidden="1"/>
    </xf>
    <xf numFmtId="3" fontId="53" fillId="0" borderId="0" xfId="13" applyNumberFormat="1" applyFont="1" applyFill="1" applyAlignment="1" applyProtection="1">
      <alignment horizontal="left" vertical="center" wrapText="1"/>
      <protection hidden="1"/>
    </xf>
    <xf numFmtId="0" fontId="42" fillId="0" borderId="0" xfId="0" applyFont="1" applyAlignment="1" applyProtection="1">
      <alignment horizontal="left" vertical="center"/>
      <protection locked="0"/>
    </xf>
    <xf numFmtId="0" fontId="42" fillId="0" borderId="0" xfId="0" applyFont="1" applyFill="1" applyAlignment="1" applyProtection="1">
      <alignment horizontal="left" vertical="center"/>
      <protection locked="0"/>
    </xf>
    <xf numFmtId="0" fontId="0" fillId="0" borderId="0" xfId="0" applyAlignment="1" applyProtection="1">
      <alignment horizontal="left"/>
      <protection locked="0"/>
    </xf>
    <xf numFmtId="0" fontId="0" fillId="0" borderId="0" xfId="0" applyProtection="1">
      <protection locked="0"/>
    </xf>
    <xf numFmtId="0" fontId="9" fillId="0" borderId="0" xfId="0" applyFont="1" applyFill="1" applyProtection="1">
      <protection locked="0"/>
    </xf>
    <xf numFmtId="0" fontId="42" fillId="0" borderId="0" xfId="0" applyFont="1" applyProtection="1">
      <protection locked="0"/>
    </xf>
    <xf numFmtId="0" fontId="0" fillId="0" borderId="0" xfId="0" applyFill="1" applyProtection="1">
      <protection locked="0"/>
    </xf>
    <xf numFmtId="0" fontId="16" fillId="0" borderId="0" xfId="0" applyFont="1" applyAlignment="1" applyProtection="1">
      <alignment horizontal="left"/>
      <protection locked="0"/>
    </xf>
    <xf numFmtId="0" fontId="9" fillId="0" borderId="0" xfId="0" applyFont="1" applyFill="1" applyAlignment="1" applyProtection="1">
      <alignment horizontal="left" vertical="center" wrapText="1"/>
      <protection locked="0"/>
    </xf>
    <xf numFmtId="0" fontId="42" fillId="0" borderId="0" xfId="0" applyFont="1" applyAlignment="1" applyProtection="1">
      <alignment vertical="center"/>
      <protection locked="0"/>
    </xf>
    <xf numFmtId="0" fontId="0" fillId="0" borderId="0" xfId="0" applyFont="1" applyFill="1" applyAlignment="1" applyProtection="1">
      <alignment vertical="center"/>
      <protection locked="0"/>
    </xf>
    <xf numFmtId="165" fontId="42" fillId="0" borderId="0" xfId="13" applyNumberFormat="1" applyFont="1" applyAlignment="1" applyProtection="1">
      <alignment horizontal="left" vertical="center"/>
      <protection locked="0"/>
    </xf>
    <xf numFmtId="165" fontId="42" fillId="0" borderId="0" xfId="13" applyNumberFormat="1" applyFont="1" applyFill="1" applyAlignment="1" applyProtection="1">
      <alignment horizontal="left" vertical="center"/>
      <protection locked="0"/>
    </xf>
    <xf numFmtId="0" fontId="31" fillId="0" borderId="0" xfId="30" applyFill="1" applyAlignment="1" applyProtection="1">
      <alignment horizontal="left" vertical="center" wrapText="1"/>
      <protection locked="0"/>
    </xf>
    <xf numFmtId="0" fontId="52" fillId="0" borderId="0" xfId="0" applyFont="1" applyAlignment="1" applyProtection="1">
      <alignment vertical="center"/>
      <protection locked="0"/>
    </xf>
    <xf numFmtId="0" fontId="32" fillId="0" borderId="0" xfId="0" applyFont="1" applyFill="1" applyAlignment="1" applyProtection="1">
      <alignment vertical="center"/>
      <protection locked="0"/>
    </xf>
    <xf numFmtId="0" fontId="0" fillId="0" borderId="0" xfId="0" applyFont="1" applyFill="1" applyAlignment="1" applyProtection="1">
      <alignment horizontal="left" vertical="center" wrapText="1"/>
      <protection locked="0"/>
    </xf>
    <xf numFmtId="3" fontId="51" fillId="0" borderId="0" xfId="32" applyNumberFormat="1" applyFont="1" applyFill="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22" fillId="0" borderId="0" xfId="0" applyFont="1" applyFill="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3" fontId="52" fillId="0" borderId="0" xfId="13" applyNumberFormat="1" applyFont="1" applyAlignment="1" applyProtection="1">
      <alignment horizontal="left" vertical="center"/>
      <protection locked="0"/>
    </xf>
    <xf numFmtId="3" fontId="52" fillId="0" borderId="0" xfId="13" applyNumberFormat="1" applyFont="1" applyFill="1" applyAlignment="1" applyProtection="1">
      <alignment horizontal="left" vertical="center"/>
      <protection locked="0"/>
    </xf>
    <xf numFmtId="0" fontId="42" fillId="0" borderId="0" xfId="0" applyFont="1" applyFill="1" applyAlignment="1" applyProtection="1">
      <alignment vertical="center"/>
      <protection locked="0"/>
    </xf>
    <xf numFmtId="0" fontId="16" fillId="0" borderId="0" xfId="0" applyFont="1" applyFill="1" applyAlignment="1" applyProtection="1">
      <alignment horizontal="left"/>
      <protection locked="0"/>
    </xf>
    <xf numFmtId="0" fontId="33" fillId="0" borderId="0" xfId="0" applyFont="1" applyFill="1" applyAlignment="1" applyProtection="1">
      <alignment horizontal="left" vertical="center" wrapText="1"/>
      <protection locked="0"/>
    </xf>
    <xf numFmtId="3" fontId="52" fillId="0" borderId="0" xfId="34" applyNumberFormat="1" applyFont="1" applyFill="1" applyAlignment="1" applyProtection="1">
      <alignment horizontal="left" vertical="center" wrapText="1"/>
      <protection locked="0"/>
    </xf>
    <xf numFmtId="3" fontId="52" fillId="0" borderId="0" xfId="33" applyNumberFormat="1" applyFont="1" applyFill="1" applyAlignment="1" applyProtection="1">
      <alignment horizontal="left" vertical="center" wrapText="1"/>
      <protection locked="0"/>
    </xf>
    <xf numFmtId="0" fontId="32" fillId="0" borderId="0" xfId="0" applyFont="1" applyFill="1" applyAlignment="1" applyProtection="1">
      <alignment horizontal="left" vertical="center" wrapText="1"/>
      <protection locked="0"/>
    </xf>
    <xf numFmtId="0" fontId="54" fillId="0" borderId="0" xfId="0" applyFont="1" applyAlignment="1" applyProtection="1">
      <alignment vertical="center"/>
      <protection locked="0"/>
    </xf>
    <xf numFmtId="0" fontId="26" fillId="0" borderId="0" xfId="0" applyFont="1" applyFill="1" applyAlignment="1" applyProtection="1">
      <alignment vertical="center"/>
      <protection locked="0"/>
    </xf>
    <xf numFmtId="0" fontId="50" fillId="0" borderId="0" xfId="0" applyFont="1" applyFill="1" applyProtection="1">
      <protection locked="0"/>
    </xf>
    <xf numFmtId="0" fontId="42" fillId="0" borderId="0" xfId="0" applyFont="1" applyFill="1" applyProtection="1">
      <protection locked="0"/>
    </xf>
    <xf numFmtId="0" fontId="50"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wrapText="1"/>
      <protection locked="0"/>
    </xf>
    <xf numFmtId="166" fontId="50" fillId="0" borderId="0" xfId="2" applyNumberFormat="1" applyFont="1" applyFill="1" applyAlignment="1" applyProtection="1">
      <alignment horizontal="left" vertical="center" wrapText="1"/>
      <protection locked="0"/>
    </xf>
    <xf numFmtId="166" fontId="42" fillId="0" borderId="0" xfId="2" applyNumberFormat="1" applyFont="1" applyFill="1" applyAlignment="1" applyProtection="1">
      <alignment horizontal="left" vertical="center"/>
      <protection locked="0"/>
    </xf>
    <xf numFmtId="0" fontId="51" fillId="0" borderId="0" xfId="27" applyFont="1" applyFill="1" applyAlignment="1" applyProtection="1">
      <alignment horizontal="left" vertical="center" wrapText="1"/>
      <protection locked="0"/>
    </xf>
    <xf numFmtId="166" fontId="51" fillId="0" borderId="0" xfId="2" applyNumberFormat="1" applyFont="1" applyFill="1" applyAlignment="1" applyProtection="1">
      <alignment horizontal="left" vertical="center" wrapText="1"/>
      <protection locked="0"/>
    </xf>
    <xf numFmtId="166" fontId="52" fillId="0" borderId="0" xfId="2" applyNumberFormat="1" applyFont="1" applyFill="1" applyAlignment="1" applyProtection="1">
      <alignment horizontal="left" vertical="center"/>
      <protection locked="0"/>
    </xf>
    <xf numFmtId="0" fontId="52" fillId="0" borderId="0" xfId="29" applyFont="1" applyFill="1" applyAlignment="1" applyProtection="1">
      <alignment horizontal="left" vertical="center" wrapText="1"/>
      <protection locked="0"/>
    </xf>
    <xf numFmtId="166" fontId="52" fillId="0" borderId="0" xfId="2" applyNumberFormat="1" applyFont="1" applyFill="1" applyAlignment="1" applyProtection="1">
      <alignment horizontal="left" vertical="center" wrapText="1"/>
      <protection locked="0"/>
    </xf>
    <xf numFmtId="0" fontId="52" fillId="0" borderId="0" xfId="0" applyFont="1" applyFill="1" applyAlignment="1" applyProtection="1">
      <alignment vertical="center"/>
      <protection locked="0"/>
    </xf>
    <xf numFmtId="0" fontId="52" fillId="0" borderId="0" xfId="28" applyFont="1" applyFill="1" applyAlignment="1" applyProtection="1">
      <alignment horizontal="left" vertical="center" wrapText="1"/>
      <protection locked="0"/>
    </xf>
    <xf numFmtId="0" fontId="32" fillId="0" borderId="0" xfId="30" applyFont="1" applyFill="1" applyAlignment="1" applyProtection="1">
      <alignment horizontal="left" vertical="center" wrapText="1"/>
      <protection locked="0"/>
    </xf>
    <xf numFmtId="0" fontId="51" fillId="0" borderId="0" xfId="32" applyFont="1" applyFill="1" applyAlignment="1" applyProtection="1">
      <alignment horizontal="left" vertical="center" wrapText="1"/>
      <protection locked="0"/>
    </xf>
    <xf numFmtId="0" fontId="51" fillId="0" borderId="0" xfId="35" applyFont="1" applyFill="1" applyAlignment="1" applyProtection="1">
      <alignment horizontal="left" vertical="center" wrapText="1"/>
      <protection locked="0"/>
    </xf>
    <xf numFmtId="0" fontId="52" fillId="0" borderId="0" xfId="37" applyFont="1" applyFill="1" applyAlignment="1" applyProtection="1">
      <alignment horizontal="left" vertical="center" wrapText="1"/>
      <protection locked="0"/>
    </xf>
    <xf numFmtId="0" fontId="52" fillId="0" borderId="0" xfId="36" applyFont="1" applyFill="1" applyAlignment="1" applyProtection="1">
      <alignment horizontal="left" vertical="center" wrapText="1"/>
      <protection locked="0"/>
    </xf>
    <xf numFmtId="49" fontId="53" fillId="0" borderId="0" xfId="31" applyNumberFormat="1" applyFont="1" applyFill="1" applyAlignment="1" applyProtection="1">
      <alignment horizontal="left" vertical="center" wrapText="1"/>
      <protection locked="0"/>
    </xf>
    <xf numFmtId="166" fontId="53" fillId="0" borderId="0" xfId="2" applyNumberFormat="1" applyFont="1" applyFill="1" applyAlignment="1" applyProtection="1">
      <alignment horizontal="left" vertical="center" wrapText="1"/>
      <protection locked="0"/>
    </xf>
    <xf numFmtId="0" fontId="53" fillId="0" borderId="0" xfId="0" applyFont="1" applyFill="1" applyAlignment="1" applyProtection="1">
      <alignment horizontal="left" vertical="center" wrapText="1"/>
      <protection locked="0"/>
    </xf>
    <xf numFmtId="0" fontId="52" fillId="0" borderId="0" xfId="34" applyFont="1" applyFill="1" applyAlignment="1" applyProtection="1">
      <alignment horizontal="left" vertical="center" wrapText="1"/>
      <protection locked="0"/>
    </xf>
    <xf numFmtId="0" fontId="52" fillId="0" borderId="0" xfId="33" applyFont="1" applyFill="1" applyAlignment="1" applyProtection="1">
      <alignment horizontal="left" vertical="center" wrapText="1"/>
      <protection locked="0"/>
    </xf>
    <xf numFmtId="0" fontId="16" fillId="0" borderId="0" xfId="0" applyFont="1" applyProtection="1"/>
    <xf numFmtId="0" fontId="16" fillId="0" borderId="0" xfId="0" applyFont="1" applyAlignment="1" applyProtection="1">
      <alignment horizontal="left" vertical="center"/>
    </xf>
    <xf numFmtId="0" fontId="16" fillId="0" borderId="0" xfId="0" applyFont="1" applyAlignment="1" applyProtection="1">
      <alignment horizontal="left" vertical="center" wrapText="1"/>
    </xf>
    <xf numFmtId="0" fontId="36" fillId="24" borderId="0" xfId="0" applyFont="1" applyFill="1" applyBorder="1" applyProtection="1"/>
    <xf numFmtId="0" fontId="36" fillId="24" borderId="2" xfId="0" applyFont="1" applyFill="1" applyBorder="1" applyProtection="1"/>
    <xf numFmtId="0" fontId="19" fillId="0" borderId="0" xfId="0" applyFont="1" applyProtection="1"/>
    <xf numFmtId="0" fontId="16" fillId="23" borderId="42" xfId="0" applyFont="1" applyFill="1" applyBorder="1" applyProtection="1"/>
    <xf numFmtId="3" fontId="20" fillId="0" borderId="0" xfId="23" applyNumberFormat="1" applyFont="1" applyFill="1" applyBorder="1" applyAlignment="1" applyProtection="1">
      <alignment horizontal="left" vertical="center"/>
    </xf>
    <xf numFmtId="0" fontId="16" fillId="25" borderId="43" xfId="0" applyFont="1" applyFill="1" applyBorder="1" applyProtection="1"/>
    <xf numFmtId="0" fontId="16" fillId="23" borderId="43" xfId="0" applyFont="1" applyFill="1" applyBorder="1" applyProtection="1"/>
    <xf numFmtId="0" fontId="16" fillId="0" borderId="0" xfId="0" applyNumberFormat="1" applyFont="1" applyProtection="1"/>
    <xf numFmtId="0" fontId="16" fillId="0" borderId="0" xfId="0" applyFont="1" applyAlignment="1" applyProtection="1">
      <alignment horizontal="left"/>
    </xf>
    <xf numFmtId="0" fontId="0" fillId="0" borderId="0" xfId="0" applyProtection="1"/>
    <xf numFmtId="0" fontId="16" fillId="0" borderId="0" xfId="0" applyNumberFormat="1" applyFont="1" applyAlignment="1" applyProtection="1">
      <alignment horizontal="left" vertical="center"/>
    </xf>
    <xf numFmtId="0" fontId="68" fillId="0" borderId="0" xfId="41" applyBorder="1" applyAlignment="1" applyProtection="1">
      <alignment horizontal="left" vertical="center"/>
      <protection locked="0"/>
    </xf>
    <xf numFmtId="0" fontId="69" fillId="0" borderId="0" xfId="0" applyFont="1" applyProtection="1"/>
    <xf numFmtId="0" fontId="69" fillId="0" borderId="0" xfId="0" applyNumberFormat="1" applyFont="1" applyProtection="1"/>
    <xf numFmtId="0" fontId="9" fillId="22" borderId="35" xfId="0" applyFont="1" applyFill="1" applyBorder="1" applyAlignment="1" applyProtection="1">
      <alignment horizontal="left" vertical="center"/>
    </xf>
    <xf numFmtId="0" fontId="12" fillId="8" borderId="45" xfId="0" applyFont="1" applyFill="1" applyBorder="1" applyAlignment="1" applyProtection="1">
      <alignment horizontal="left" vertical="center" wrapText="1"/>
    </xf>
    <xf numFmtId="0" fontId="12" fillId="8" borderId="45" xfId="0" applyFont="1" applyFill="1" applyBorder="1" applyAlignment="1" applyProtection="1">
      <alignment vertical="center" wrapText="1"/>
    </xf>
    <xf numFmtId="0" fontId="19" fillId="8" borderId="45" xfId="0" applyFont="1" applyFill="1" applyBorder="1" applyAlignment="1" applyProtection="1">
      <alignment horizontal="left" vertical="center"/>
    </xf>
    <xf numFmtId="0" fontId="20" fillId="0" borderId="29" xfId="0" applyFont="1" applyBorder="1" applyAlignment="1" applyProtection="1">
      <alignment horizontal="left" vertical="center"/>
    </xf>
    <xf numFmtId="2" fontId="20" fillId="5" borderId="29" xfId="2" applyNumberFormat="1" applyFont="1" applyFill="1" applyBorder="1" applyAlignment="1" applyProtection="1">
      <alignment horizontal="left" vertical="center"/>
      <protection locked="0"/>
    </xf>
    <xf numFmtId="0" fontId="16" fillId="5" borderId="41" xfId="0" applyFont="1" applyFill="1" applyBorder="1" applyAlignment="1" applyProtection="1">
      <alignment horizontal="left" vertical="center" wrapText="1"/>
      <protection locked="0"/>
    </xf>
    <xf numFmtId="0" fontId="19" fillId="3" borderId="21" xfId="0" applyFont="1" applyFill="1" applyBorder="1" applyAlignment="1" applyProtection="1"/>
    <xf numFmtId="0" fontId="19" fillId="3" borderId="46" xfId="0" applyFont="1" applyFill="1" applyBorder="1" applyAlignment="1" applyProtection="1"/>
    <xf numFmtId="0" fontId="16" fillId="0" borderId="45" xfId="0" applyFont="1" applyBorder="1" applyProtection="1"/>
    <xf numFmtId="0" fontId="37" fillId="3" borderId="49" xfId="0" applyFont="1" applyFill="1" applyBorder="1" applyAlignment="1" applyProtection="1">
      <alignment horizontal="left" vertical="center"/>
    </xf>
    <xf numFmtId="0" fontId="37" fillId="3" borderId="4" xfId="0" applyFont="1" applyFill="1" applyBorder="1" applyAlignment="1" applyProtection="1">
      <alignment horizontal="left" vertical="center"/>
    </xf>
    <xf numFmtId="0" fontId="37" fillId="3" borderId="50" xfId="0" applyFont="1" applyFill="1" applyBorder="1" applyAlignment="1" applyProtection="1">
      <alignment horizontal="left" vertical="center"/>
    </xf>
    <xf numFmtId="0" fontId="19" fillId="3" borderId="4" xfId="0" applyFont="1" applyFill="1" applyBorder="1" applyAlignment="1" applyProtection="1">
      <alignment horizontal="left" vertical="center" wrapText="1"/>
    </xf>
    <xf numFmtId="0" fontId="26" fillId="3" borderId="49"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26" fillId="3" borderId="50" xfId="0" applyFont="1" applyFill="1" applyBorder="1" applyAlignment="1" applyProtection="1">
      <alignment horizontal="left" vertical="center"/>
    </xf>
    <xf numFmtId="0" fontId="19" fillId="3" borderId="20" xfId="0" applyFont="1" applyFill="1" applyBorder="1" applyAlignment="1" applyProtection="1">
      <alignment horizontal="left" vertical="center"/>
    </xf>
    <xf numFmtId="0" fontId="19" fillId="3" borderId="21" xfId="0" applyFont="1" applyFill="1" applyBorder="1" applyAlignment="1" applyProtection="1">
      <alignment horizontal="left" vertical="center"/>
    </xf>
    <xf numFmtId="0" fontId="19" fillId="3" borderId="22" xfId="0" applyFont="1" applyFill="1" applyBorder="1" applyAlignment="1" applyProtection="1">
      <alignment horizontal="left" vertical="center"/>
    </xf>
    <xf numFmtId="0" fontId="24" fillId="0" borderId="0" xfId="0" applyFont="1" applyAlignment="1" applyProtection="1">
      <alignment horizontal="left" vertical="center"/>
    </xf>
    <xf numFmtId="0" fontId="20" fillId="0" borderId="0" xfId="0" applyFont="1" applyAlignment="1" applyProtection="1">
      <alignment horizontal="left" vertical="center"/>
    </xf>
    <xf numFmtId="0" fontId="69" fillId="0" borderId="0" xfId="0" applyFont="1" applyAlignment="1" applyProtection="1">
      <alignment horizontal="left" vertical="center"/>
    </xf>
    <xf numFmtId="0" fontId="69" fillId="0" borderId="0" xfId="0" applyFont="1" applyAlignment="1" applyProtection="1">
      <alignment horizontal="left" vertical="center" wrapText="1"/>
    </xf>
    <xf numFmtId="0" fontId="69" fillId="0" borderId="0" xfId="0" applyNumberFormat="1" applyFont="1" applyAlignment="1" applyProtection="1">
      <alignment horizontal="left" vertical="center"/>
    </xf>
    <xf numFmtId="0" fontId="16" fillId="5" borderId="27" xfId="0" applyFont="1" applyFill="1" applyBorder="1" applyAlignment="1" applyProtection="1">
      <alignment vertical="center" wrapText="1"/>
      <protection locked="0"/>
    </xf>
    <xf numFmtId="0" fontId="25" fillId="0" borderId="4" xfId="23" applyFont="1" applyBorder="1" applyAlignment="1" applyProtection="1">
      <alignment horizontal="left" vertical="center"/>
      <protection locked="0"/>
    </xf>
    <xf numFmtId="0" fontId="16" fillId="5" borderId="22" xfId="0" applyFont="1" applyFill="1" applyBorder="1" applyAlignment="1" applyProtection="1">
      <alignment vertical="center" wrapText="1"/>
      <protection locked="0"/>
    </xf>
    <xf numFmtId="0" fontId="19" fillId="5" borderId="19" xfId="0" applyFont="1" applyFill="1" applyBorder="1" applyAlignment="1" applyProtection="1">
      <alignment horizontal="left" vertical="center" wrapText="1"/>
    </xf>
    <xf numFmtId="0" fontId="9" fillId="3" borderId="39" xfId="0" applyFont="1" applyFill="1" applyBorder="1" applyAlignment="1" applyProtection="1">
      <alignment horizontal="center" vertical="center"/>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19" fillId="5" borderId="9" xfId="0" applyFont="1" applyFill="1" applyBorder="1" applyAlignment="1" applyProtection="1">
      <alignment vertical="center" wrapText="1"/>
    </xf>
    <xf numFmtId="0" fontId="70" fillId="10" borderId="9" xfId="40" applyFont="1" applyBorder="1" applyAlignment="1" applyProtection="1">
      <alignment vertical="center" wrapText="1"/>
    </xf>
    <xf numFmtId="168" fontId="20" fillId="5" borderId="11" xfId="2" applyNumberFormat="1" applyFont="1" applyFill="1" applyBorder="1" applyAlignment="1" applyProtection="1">
      <alignment horizontal="left" vertical="center"/>
      <protection locked="0"/>
    </xf>
    <xf numFmtId="0" fontId="69" fillId="0" borderId="0" xfId="0" applyFont="1" applyAlignment="1" applyProtection="1">
      <alignment horizontal="left"/>
    </xf>
    <xf numFmtId="0" fontId="19" fillId="9" borderId="10" xfId="0" applyFont="1" applyFill="1" applyBorder="1" applyAlignment="1" applyProtection="1">
      <alignment horizontal="left" vertical="center" wrapText="1"/>
    </xf>
    <xf numFmtId="0" fontId="12" fillId="8" borderId="39" xfId="0" applyFont="1" applyFill="1" applyBorder="1" applyAlignment="1" applyProtection="1">
      <alignment vertical="center" wrapText="1"/>
    </xf>
    <xf numFmtId="0" fontId="12" fillId="8" borderId="32" xfId="0" applyFont="1" applyFill="1" applyBorder="1" applyAlignment="1" applyProtection="1">
      <alignment horizontal="left" vertical="center" wrapText="1"/>
    </xf>
    <xf numFmtId="0" fontId="12" fillId="8" borderId="28" xfId="0" applyFont="1" applyFill="1" applyBorder="1" applyAlignment="1" applyProtection="1">
      <alignment horizontal="left" vertical="center" wrapText="1"/>
    </xf>
    <xf numFmtId="9" fontId="34" fillId="4" borderId="11" xfId="2" quotePrefix="1" applyFont="1" applyFill="1" applyBorder="1" applyAlignment="1" applyProtection="1">
      <alignment horizontal="center" vertical="center" wrapText="1"/>
    </xf>
    <xf numFmtId="0" fontId="16" fillId="5" borderId="21" xfId="0"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0" borderId="20" xfId="0" applyFont="1" applyBorder="1" applyAlignment="1" applyProtection="1">
      <alignment horizontal="left" vertical="center"/>
    </xf>
    <xf numFmtId="2" fontId="20" fillId="5" borderId="20" xfId="2" applyNumberFormat="1" applyFont="1" applyFill="1" applyBorder="1" applyAlignment="1" applyProtection="1">
      <alignment horizontal="left" vertical="center"/>
      <protection locked="0"/>
    </xf>
    <xf numFmtId="0" fontId="16" fillId="0" borderId="8" xfId="0" applyFont="1" applyFill="1" applyBorder="1" applyAlignment="1" applyProtection="1">
      <alignment horizontal="center" vertical="center"/>
    </xf>
    <xf numFmtId="0" fontId="20" fillId="5" borderId="20" xfId="0" applyFont="1" applyFill="1" applyBorder="1" applyAlignment="1" applyProtection="1">
      <alignment horizontal="left" vertical="center" wrapText="1"/>
      <protection locked="0"/>
    </xf>
    <xf numFmtId="0" fontId="20" fillId="5" borderId="40" xfId="0" applyFont="1" applyFill="1" applyBorder="1" applyAlignment="1" applyProtection="1">
      <alignment horizontal="left" vertical="center" wrapText="1"/>
      <protection locked="0"/>
    </xf>
    <xf numFmtId="9" fontId="34" fillId="4" borderId="9" xfId="2" quotePrefix="1" applyFont="1" applyFill="1" applyBorder="1" applyAlignment="1" applyProtection="1">
      <alignment horizontal="center" vertical="center" wrapText="1"/>
    </xf>
    <xf numFmtId="9" fontId="34" fillId="4" borderId="29" xfId="2" quotePrefix="1"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xf>
    <xf numFmtId="168" fontId="29" fillId="4" borderId="29" xfId="23" applyNumberFormat="1" applyFill="1" applyBorder="1" applyAlignment="1" applyProtection="1">
      <alignment horizontal="left" vertical="center"/>
    </xf>
    <xf numFmtId="9" fontId="34" fillId="4" borderId="9" xfId="2" quotePrefix="1" applyFont="1" applyFill="1" applyBorder="1" applyAlignment="1" applyProtection="1">
      <alignment horizontal="left" vertical="center" wrapText="1"/>
    </xf>
    <xf numFmtId="0" fontId="20" fillId="0" borderId="20" xfId="0" applyFont="1" applyBorder="1" applyAlignment="1" applyProtection="1">
      <alignment horizontal="left" vertical="center" wrapText="1"/>
    </xf>
    <xf numFmtId="0" fontId="20" fillId="0" borderId="21" xfId="0" applyFont="1" applyBorder="1" applyAlignment="1" applyProtection="1">
      <alignment horizontal="left" vertical="center" wrapText="1"/>
    </xf>
    <xf numFmtId="0" fontId="34" fillId="4" borderId="11" xfId="23" quotePrefix="1" applyFont="1" applyFill="1" applyBorder="1" applyAlignment="1" applyProtection="1">
      <alignment horizontal="left" vertical="center" wrapText="1"/>
    </xf>
    <xf numFmtId="0" fontId="19" fillId="9" borderId="11" xfId="0" applyFont="1" applyFill="1" applyBorder="1" applyAlignment="1" applyProtection="1">
      <alignment horizontal="left" vertical="center" wrapText="1"/>
    </xf>
    <xf numFmtId="0" fontId="19" fillId="9" borderId="13" xfId="0" applyFont="1" applyFill="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0" xfId="0" applyFont="1" applyFill="1" applyBorder="1" applyAlignment="1" applyProtection="1">
      <alignment horizontal="left" vertical="center" wrapText="1"/>
      <protection locked="0"/>
    </xf>
    <xf numFmtId="0" fontId="53" fillId="2" borderId="0" xfId="0" applyFont="1" applyFill="1" applyAlignment="1" applyProtection="1">
      <alignment horizontal="left" vertical="center" wrapText="1"/>
      <protection hidden="1"/>
    </xf>
    <xf numFmtId="3" fontId="9" fillId="3" borderId="26" xfId="1" applyNumberFormat="1" applyFont="1" applyFill="1" applyBorder="1" applyAlignment="1" applyProtection="1">
      <alignment horizontal="left" vertical="center"/>
    </xf>
    <xf numFmtId="0" fontId="16" fillId="0" borderId="26" xfId="0" applyFont="1" applyBorder="1" applyAlignment="1" applyProtection="1">
      <alignment horizontal="left" vertical="center" wrapText="1"/>
    </xf>
    <xf numFmtId="0" fontId="19" fillId="3" borderId="20" xfId="0" applyFont="1" applyFill="1" applyBorder="1" applyAlignment="1" applyProtection="1">
      <alignment wrapText="1"/>
    </xf>
    <xf numFmtId="9" fontId="20" fillId="4" borderId="14" xfId="2" applyFont="1" applyFill="1" applyBorder="1" applyAlignment="1" applyProtection="1">
      <alignment vertical="center"/>
    </xf>
    <xf numFmtId="0" fontId="26" fillId="8" borderId="23" xfId="0" applyFont="1" applyFill="1" applyBorder="1" applyAlignment="1" applyProtection="1">
      <alignment horizontal="center" vertical="center"/>
    </xf>
    <xf numFmtId="0" fontId="41" fillId="27" borderId="58" xfId="0" applyFont="1" applyFill="1" applyBorder="1" applyAlignment="1">
      <alignment horizontal="justify" vertical="center" wrapText="1"/>
    </xf>
    <xf numFmtId="0" fontId="41" fillId="27" borderId="59" xfId="0" applyFont="1" applyFill="1" applyBorder="1" applyAlignment="1">
      <alignment horizontal="justify" vertical="center" wrapText="1"/>
    </xf>
    <xf numFmtId="0" fontId="5" fillId="28" borderId="61" xfId="0" applyFont="1" applyFill="1" applyBorder="1" applyAlignment="1">
      <alignment horizontal="justify" vertical="center" wrapText="1"/>
    </xf>
    <xf numFmtId="0" fontId="5" fillId="29" borderId="63" xfId="0" applyFont="1" applyFill="1" applyBorder="1" applyAlignment="1">
      <alignment horizontal="justify" vertical="center" wrapText="1"/>
    </xf>
    <xf numFmtId="0" fontId="5" fillId="30" borderId="65" xfId="0" applyFont="1" applyFill="1" applyBorder="1" applyAlignment="1">
      <alignment horizontal="justify" vertical="center" wrapText="1"/>
    </xf>
    <xf numFmtId="0" fontId="5" fillId="31" borderId="67" xfId="0" applyFont="1" applyFill="1" applyBorder="1" applyAlignment="1">
      <alignment horizontal="justify" vertical="center" wrapText="1"/>
    </xf>
    <xf numFmtId="0" fontId="41" fillId="32" borderId="68" xfId="0" applyFont="1" applyFill="1" applyBorder="1" applyAlignment="1">
      <alignment horizontal="justify" vertical="center" wrapText="1"/>
    </xf>
    <xf numFmtId="0" fontId="5" fillId="32" borderId="69" xfId="0" applyFont="1" applyFill="1" applyBorder="1" applyAlignment="1">
      <alignment horizontal="justify" vertical="center" wrapText="1"/>
    </xf>
    <xf numFmtId="0" fontId="0" fillId="0" borderId="0" xfId="0" applyAlignment="1">
      <alignment horizontal="left" wrapText="1"/>
    </xf>
    <xf numFmtId="0" fontId="0" fillId="0" borderId="0" xfId="0" applyBorder="1"/>
    <xf numFmtId="0" fontId="41" fillId="31" borderId="71" xfId="0" applyFont="1" applyFill="1" applyBorder="1" applyAlignment="1">
      <alignment horizontal="justify" vertical="center" wrapText="1"/>
    </xf>
    <xf numFmtId="0" fontId="5" fillId="31" borderId="72" xfId="0" applyFont="1" applyFill="1" applyBorder="1" applyAlignment="1">
      <alignment horizontal="justify" vertical="center" wrapText="1"/>
    </xf>
    <xf numFmtId="0" fontId="0" fillId="0" borderId="70" xfId="0" applyBorder="1" applyAlignment="1"/>
    <xf numFmtId="0" fontId="9" fillId="0" borderId="0" xfId="0" applyFont="1" applyBorder="1" applyAlignment="1"/>
    <xf numFmtId="0" fontId="62" fillId="0" borderId="0" xfId="0" applyFont="1" applyAlignment="1"/>
    <xf numFmtId="0" fontId="41" fillId="31" borderId="73" xfId="0" applyFont="1" applyFill="1" applyBorder="1" applyAlignment="1">
      <alignment horizontal="justify" vertical="center" wrapText="1"/>
    </xf>
    <xf numFmtId="0" fontId="5" fillId="31" borderId="74" xfId="0" applyFont="1" applyFill="1" applyBorder="1" applyAlignment="1">
      <alignment horizontal="justify" vertical="center" wrapText="1"/>
    </xf>
    <xf numFmtId="0" fontId="41" fillId="33" borderId="75" xfId="0" applyFont="1" applyFill="1" applyBorder="1" applyAlignment="1">
      <alignment horizontal="justify" vertical="center" wrapText="1"/>
    </xf>
    <xf numFmtId="0" fontId="5" fillId="33" borderId="76" xfId="0" applyFont="1" applyFill="1" applyBorder="1" applyAlignment="1">
      <alignment horizontal="justify" vertical="center" wrapText="1"/>
    </xf>
    <xf numFmtId="0" fontId="73" fillId="0" borderId="9" xfId="0" applyFont="1" applyFill="1" applyBorder="1" applyAlignment="1" applyProtection="1">
      <alignment horizontal="left" vertical="center" wrapText="1"/>
    </xf>
    <xf numFmtId="0" fontId="41" fillId="34" borderId="58" xfId="0" applyFont="1" applyFill="1" applyBorder="1" applyAlignment="1">
      <alignment horizontal="justify" vertical="center" wrapText="1"/>
    </xf>
    <xf numFmtId="0" fontId="41" fillId="34" borderId="59" xfId="0" applyFont="1" applyFill="1" applyBorder="1" applyAlignment="1">
      <alignment horizontal="justify" vertical="center" wrapText="1"/>
    </xf>
    <xf numFmtId="0" fontId="4" fillId="29" borderId="63" xfId="0" applyFont="1" applyFill="1" applyBorder="1" applyAlignment="1">
      <alignment horizontal="justify" vertical="center" wrapText="1"/>
    </xf>
    <xf numFmtId="0" fontId="4" fillId="30" borderId="65" xfId="0" applyFont="1" applyFill="1" applyBorder="1" applyAlignment="1">
      <alignment horizontal="justify" vertical="center" wrapText="1"/>
    </xf>
    <xf numFmtId="0" fontId="4" fillId="31" borderId="67" xfId="0" applyFont="1" applyFill="1" applyBorder="1" applyAlignment="1">
      <alignment horizontal="justify" vertical="center" wrapText="1"/>
    </xf>
    <xf numFmtId="0" fontId="62" fillId="0" borderId="0" xfId="0" applyFont="1"/>
    <xf numFmtId="0" fontId="41" fillId="35" borderId="58" xfId="0" applyFont="1" applyFill="1" applyBorder="1" applyAlignment="1">
      <alignment horizontal="justify" vertical="center" wrapText="1"/>
    </xf>
    <xf numFmtId="0" fontId="41" fillId="35" borderId="59" xfId="0" applyFont="1" applyFill="1" applyBorder="1" applyAlignment="1">
      <alignment horizontal="justify" vertical="center" wrapText="1"/>
    </xf>
    <xf numFmtId="0" fontId="4" fillId="28" borderId="61" xfId="0" applyFont="1" applyFill="1" applyBorder="1" applyAlignment="1">
      <alignment horizontal="justify" vertical="center" wrapText="1"/>
    </xf>
    <xf numFmtId="0" fontId="4" fillId="32" borderId="69" xfId="0" applyFont="1" applyFill="1" applyBorder="1" applyAlignment="1">
      <alignment horizontal="justify" vertical="center" wrapText="1"/>
    </xf>
    <xf numFmtId="0" fontId="4" fillId="28" borderId="78" xfId="0" applyFont="1" applyFill="1" applyBorder="1" applyAlignment="1">
      <alignment horizontal="justify" vertical="center" wrapText="1"/>
    </xf>
    <xf numFmtId="0" fontId="4" fillId="29" borderId="81" xfId="0" applyFont="1" applyFill="1" applyBorder="1" applyAlignment="1">
      <alignment horizontal="justify" vertical="center" wrapText="1"/>
    </xf>
    <xf numFmtId="0" fontId="41" fillId="36" borderId="60" xfId="0" applyFont="1" applyFill="1" applyBorder="1" applyAlignment="1">
      <alignment horizontal="justify" vertical="center" wrapText="1"/>
    </xf>
    <xf numFmtId="0" fontId="4" fillId="36" borderId="61" xfId="0" applyFont="1" applyFill="1" applyBorder="1" applyAlignment="1">
      <alignment horizontal="justify" vertical="center" wrapText="1"/>
    </xf>
    <xf numFmtId="0" fontId="18" fillId="0" borderId="0" xfId="0" applyFont="1" applyAlignment="1">
      <alignment horizontal="left"/>
    </xf>
    <xf numFmtId="0" fontId="0" fillId="0" borderId="0" xfId="0" applyAlignment="1">
      <alignment horizontal="left"/>
    </xf>
    <xf numFmtId="0" fontId="9" fillId="0" borderId="0" xfId="0" applyFont="1" applyBorder="1" applyAlignment="1">
      <alignment horizontal="left"/>
    </xf>
    <xf numFmtId="0" fontId="0" fillId="0" borderId="70" xfId="0" applyBorder="1" applyAlignment="1">
      <alignment horizontal="left"/>
    </xf>
    <xf numFmtId="0" fontId="41" fillId="27" borderId="59" xfId="0" applyFont="1" applyFill="1" applyBorder="1" applyAlignment="1">
      <alignment horizontal="left" vertical="center" wrapText="1"/>
    </xf>
    <xf numFmtId="0" fontId="5" fillId="28" borderId="61" xfId="0" applyFont="1" applyFill="1" applyBorder="1" applyAlignment="1">
      <alignment horizontal="left" vertical="center" wrapText="1"/>
    </xf>
    <xf numFmtId="0" fontId="5" fillId="29" borderId="63" xfId="0" applyFont="1" applyFill="1" applyBorder="1" applyAlignment="1">
      <alignment horizontal="left" vertical="center" wrapText="1"/>
    </xf>
    <xf numFmtId="0" fontId="5" fillId="30" borderId="65" xfId="0" applyFont="1" applyFill="1" applyBorder="1" applyAlignment="1">
      <alignment horizontal="left" vertical="center" wrapText="1"/>
    </xf>
    <xf numFmtId="0" fontId="5" fillId="31" borderId="67" xfId="0" applyFont="1" applyFill="1" applyBorder="1" applyAlignment="1">
      <alignment horizontal="left" vertical="center" wrapText="1"/>
    </xf>
    <xf numFmtId="0" fontId="5" fillId="32" borderId="69" xfId="0" applyFont="1" applyFill="1" applyBorder="1" applyAlignment="1">
      <alignment horizontal="left" vertical="center" wrapText="1"/>
    </xf>
    <xf numFmtId="0" fontId="5" fillId="31" borderId="72" xfId="0" applyFont="1" applyFill="1" applyBorder="1" applyAlignment="1">
      <alignment horizontal="left" vertical="center" wrapText="1"/>
    </xf>
    <xf numFmtId="0" fontId="5" fillId="31" borderId="74" xfId="0" applyFont="1" applyFill="1" applyBorder="1" applyAlignment="1">
      <alignment horizontal="left" vertical="center" wrapText="1"/>
    </xf>
    <xf numFmtId="0" fontId="5" fillId="33" borderId="76" xfId="0" applyFont="1" applyFill="1" applyBorder="1" applyAlignment="1">
      <alignment horizontal="left" vertical="center" wrapText="1"/>
    </xf>
    <xf numFmtId="0" fontId="41" fillId="34" borderId="59" xfId="0" applyFont="1" applyFill="1" applyBorder="1" applyAlignment="1">
      <alignment horizontal="left" vertical="center" wrapText="1"/>
    </xf>
    <xf numFmtId="0" fontId="4" fillId="29" borderId="63" xfId="0" applyFont="1" applyFill="1" applyBorder="1" applyAlignment="1">
      <alignment horizontal="left" vertical="center" wrapText="1"/>
    </xf>
    <xf numFmtId="0" fontId="4" fillId="30" borderId="65" xfId="0" applyFont="1" applyFill="1" applyBorder="1" applyAlignment="1">
      <alignment horizontal="left" vertical="center" wrapText="1"/>
    </xf>
    <xf numFmtId="0" fontId="4" fillId="31" borderId="67" xfId="0" applyFont="1" applyFill="1" applyBorder="1" applyAlignment="1">
      <alignment horizontal="left" vertical="center" wrapText="1"/>
    </xf>
    <xf numFmtId="0" fontId="41" fillId="35" borderId="59" xfId="0" applyFont="1" applyFill="1" applyBorder="1" applyAlignment="1">
      <alignment horizontal="left" vertical="center" wrapText="1"/>
    </xf>
    <xf numFmtId="0" fontId="4" fillId="28" borderId="61" xfId="0" applyFont="1" applyFill="1" applyBorder="1" applyAlignment="1">
      <alignment horizontal="left" vertical="center" wrapText="1"/>
    </xf>
    <xf numFmtId="0" fontId="4" fillId="32" borderId="69" xfId="0" applyFont="1" applyFill="1" applyBorder="1" applyAlignment="1">
      <alignment horizontal="left" vertical="center" wrapText="1"/>
    </xf>
    <xf numFmtId="0" fontId="4" fillId="36" borderId="61" xfId="0" applyFont="1" applyFill="1" applyBorder="1" applyAlignment="1">
      <alignment horizontal="left" vertical="center" wrapText="1"/>
    </xf>
    <xf numFmtId="0" fontId="4" fillId="32" borderId="84" xfId="0" applyFont="1" applyFill="1" applyBorder="1" applyAlignment="1">
      <alignment horizontal="justify" vertical="center" wrapText="1"/>
    </xf>
    <xf numFmtId="0" fontId="4" fillId="35" borderId="76" xfId="0" applyFont="1" applyFill="1" applyBorder="1" applyAlignment="1">
      <alignment horizontal="justify" vertical="center" wrapText="1"/>
    </xf>
    <xf numFmtId="0" fontId="41" fillId="28" borderId="78" xfId="0" applyFont="1" applyFill="1" applyBorder="1" applyAlignment="1">
      <alignment horizontal="justify" vertical="center" wrapText="1"/>
    </xf>
    <xf numFmtId="0" fontId="41" fillId="29" borderId="81" xfId="0" applyFont="1" applyFill="1" applyBorder="1" applyAlignment="1">
      <alignment horizontal="justify" vertical="center" wrapText="1"/>
    </xf>
    <xf numFmtId="0" fontId="4" fillId="30" borderId="86" xfId="0" applyFont="1" applyFill="1" applyBorder="1" applyAlignment="1">
      <alignment horizontal="justify" vertical="center" wrapText="1"/>
    </xf>
    <xf numFmtId="0" fontId="41" fillId="30" borderId="86" xfId="0" applyFont="1" applyFill="1" applyBorder="1" applyAlignment="1">
      <alignment horizontal="justify" vertical="center" wrapText="1"/>
    </xf>
    <xf numFmtId="0" fontId="4" fillId="31" borderId="88" xfId="0" applyFont="1" applyFill="1" applyBorder="1" applyAlignment="1">
      <alignment horizontal="justify" vertical="center" wrapText="1"/>
    </xf>
    <xf numFmtId="0" fontId="41" fillId="31" borderId="88" xfId="0" applyFont="1" applyFill="1" applyBorder="1" applyAlignment="1">
      <alignment horizontal="justify" vertical="center" wrapText="1"/>
    </xf>
    <xf numFmtId="0" fontId="4" fillId="32" borderId="90" xfId="0" applyFont="1" applyFill="1" applyBorder="1" applyAlignment="1">
      <alignment horizontal="justify" vertical="center" wrapText="1"/>
    </xf>
    <xf numFmtId="0" fontId="41" fillId="32" borderId="90" xfId="0" applyFont="1" applyFill="1" applyBorder="1" applyAlignment="1">
      <alignment horizontal="justify" vertical="center" wrapText="1"/>
    </xf>
    <xf numFmtId="0" fontId="4" fillId="35" borderId="92" xfId="0" applyFont="1" applyFill="1" applyBorder="1" applyAlignment="1">
      <alignment horizontal="justify" vertical="center" wrapText="1"/>
    </xf>
    <xf numFmtId="0" fontId="41" fillId="35" borderId="92" xfId="0" applyFont="1" applyFill="1" applyBorder="1" applyAlignment="1">
      <alignment horizontal="justify" vertical="center" wrapText="1"/>
    </xf>
    <xf numFmtId="0" fontId="0" fillId="0" borderId="0" xfId="0" applyAlignment="1">
      <alignment horizontal="left" vertical="top" wrapText="1"/>
    </xf>
    <xf numFmtId="0" fontId="76" fillId="0" borderId="0" xfId="39" applyFont="1"/>
    <xf numFmtId="0" fontId="77" fillId="0" borderId="0" xfId="0" applyFont="1" applyAlignment="1">
      <alignment horizontal="left"/>
    </xf>
    <xf numFmtId="0" fontId="9" fillId="0" borderId="0" xfId="0" applyFont="1" applyAlignment="1">
      <alignment horizontal="left" vertical="top"/>
    </xf>
    <xf numFmtId="0" fontId="76" fillId="0" borderId="0" xfId="39" applyFont="1" applyAlignment="1">
      <alignment wrapText="1"/>
    </xf>
    <xf numFmtId="0" fontId="76" fillId="0" borderId="0" xfId="39" applyFont="1" applyAlignment="1">
      <alignment vertical="top" wrapText="1"/>
    </xf>
    <xf numFmtId="0" fontId="7" fillId="0" borderId="0" xfId="0" applyFont="1"/>
    <xf numFmtId="0" fontId="9" fillId="0" borderId="0" xfId="0" applyFont="1" applyAlignment="1">
      <alignment horizontal="left" vertical="top" wrapText="1"/>
    </xf>
    <xf numFmtId="0" fontId="52" fillId="0" borderId="0" xfId="34" applyFont="1" applyFill="1" applyAlignment="1" applyProtection="1">
      <alignment horizontal="left" vertical="center"/>
      <protection hidden="1"/>
    </xf>
    <xf numFmtId="0" fontId="79" fillId="0" borderId="0" xfId="0" applyFont="1" applyFill="1" applyAlignment="1" applyProtection="1">
      <alignment horizontal="left" vertical="center" wrapText="1"/>
      <protection hidden="1"/>
    </xf>
    <xf numFmtId="0" fontId="31" fillId="0" borderId="0" xfId="0" applyFont="1" applyFill="1" applyAlignment="1" applyProtection="1">
      <alignment horizontal="left" vertical="center" wrapText="1"/>
      <protection hidden="1"/>
    </xf>
    <xf numFmtId="3" fontId="80" fillId="0" borderId="0" xfId="34" applyNumberFormat="1" applyFont="1" applyFill="1" applyAlignment="1" applyProtection="1">
      <alignment horizontal="left" vertical="center" wrapText="1"/>
      <protection hidden="1"/>
    </xf>
    <xf numFmtId="3" fontId="80" fillId="0" borderId="0" xfId="33" applyNumberFormat="1" applyFont="1" applyFill="1" applyAlignment="1" applyProtection="1">
      <alignment horizontal="left" vertical="center" wrapText="1"/>
      <protection hidden="1"/>
    </xf>
    <xf numFmtId="9" fontId="53" fillId="37" borderId="0" xfId="2" applyFont="1" applyFill="1" applyAlignment="1" applyProtection="1">
      <alignment horizontal="left" vertical="center" wrapText="1"/>
      <protection hidden="1"/>
    </xf>
    <xf numFmtId="0" fontId="81" fillId="37" borderId="0" xfId="34" applyFont="1" applyFill="1" applyAlignment="1" applyProtection="1">
      <alignment horizontal="left" vertical="center" wrapText="1"/>
      <protection hidden="1"/>
    </xf>
    <xf numFmtId="9" fontId="80" fillId="37" borderId="0" xfId="2" applyFont="1" applyFill="1" applyAlignment="1" applyProtection="1">
      <alignment horizontal="left" vertical="center" wrapText="1"/>
      <protection hidden="1"/>
    </xf>
    <xf numFmtId="0" fontId="51" fillId="29" borderId="0" xfId="33" applyFont="1" applyFill="1" applyAlignment="1" applyProtection="1">
      <alignment horizontal="left" vertical="center" wrapText="1"/>
      <protection hidden="1"/>
    </xf>
    <xf numFmtId="3" fontId="50" fillId="29" borderId="0" xfId="0" applyNumberFormat="1" applyFont="1" applyFill="1" applyAlignment="1" applyProtection="1">
      <alignment horizontal="left" vertical="center"/>
      <protection hidden="1"/>
    </xf>
    <xf numFmtId="9" fontId="50" fillId="29" borderId="0" xfId="2" applyFont="1" applyFill="1" applyAlignment="1" applyProtection="1">
      <alignment horizontal="left" vertical="center"/>
      <protection hidden="1"/>
    </xf>
    <xf numFmtId="0" fontId="51" fillId="38" borderId="0" xfId="33" applyFont="1" applyFill="1" applyAlignment="1" applyProtection="1">
      <alignment horizontal="left" vertical="center" wrapText="1"/>
      <protection hidden="1"/>
    </xf>
    <xf numFmtId="3" fontId="50" fillId="38" borderId="0" xfId="0" applyNumberFormat="1" applyFont="1" applyFill="1" applyAlignment="1" applyProtection="1">
      <alignment horizontal="left" vertical="center"/>
      <protection hidden="1"/>
    </xf>
    <xf numFmtId="9" fontId="50" fillId="38" borderId="0" xfId="2" applyFont="1" applyFill="1" applyAlignment="1" applyProtection="1">
      <alignment horizontal="left" vertical="center"/>
      <protection hidden="1"/>
    </xf>
    <xf numFmtId="0" fontId="50" fillId="39" borderId="0" xfId="0" applyFont="1" applyFill="1" applyAlignment="1" applyProtection="1">
      <alignment vertical="center"/>
      <protection hidden="1"/>
    </xf>
    <xf numFmtId="3" fontId="50" fillId="39" borderId="0" xfId="0" applyNumberFormat="1" applyFont="1" applyFill="1" applyAlignment="1" applyProtection="1">
      <alignment horizontal="left" vertical="center"/>
      <protection hidden="1"/>
    </xf>
    <xf numFmtId="9" fontId="50" fillId="39" borderId="0" xfId="2" applyFont="1" applyFill="1" applyAlignment="1" applyProtection="1">
      <alignment horizontal="left" vertical="center"/>
      <protection hidden="1"/>
    </xf>
    <xf numFmtId="0" fontId="42" fillId="39" borderId="0" xfId="0" applyFont="1" applyFill="1" applyAlignment="1" applyProtection="1">
      <alignment vertical="center"/>
      <protection hidden="1"/>
    </xf>
    <xf numFmtId="9" fontId="42" fillId="39" borderId="0" xfId="2" applyFont="1" applyFill="1" applyAlignment="1" applyProtection="1">
      <alignment horizontal="left" vertical="center"/>
      <protection hidden="1"/>
    </xf>
    <xf numFmtId="3" fontId="42" fillId="39" borderId="0" xfId="13" applyNumberFormat="1" applyFont="1" applyFill="1" applyAlignment="1" applyProtection="1">
      <alignment horizontal="left" vertical="center"/>
      <protection hidden="1"/>
    </xf>
    <xf numFmtId="0" fontId="49" fillId="0" borderId="0" xfId="0" applyFont="1" applyFill="1" applyAlignment="1" applyProtection="1">
      <alignment vertical="center"/>
      <protection hidden="1"/>
    </xf>
    <xf numFmtId="0" fontId="51" fillId="36" borderId="0" xfId="27" applyFont="1" applyFill="1" applyAlignment="1" applyProtection="1">
      <alignment horizontal="left" vertical="center" wrapText="1"/>
      <protection hidden="1"/>
    </xf>
    <xf numFmtId="9" fontId="51" fillId="36" borderId="0" xfId="2" applyFont="1" applyFill="1" applyAlignment="1" applyProtection="1">
      <alignment horizontal="left" vertical="center" wrapText="1"/>
      <protection hidden="1"/>
    </xf>
    <xf numFmtId="0" fontId="82" fillId="36" borderId="0" xfId="0" applyFont="1" applyFill="1" applyAlignment="1" applyProtection="1">
      <alignment vertical="center"/>
      <protection hidden="1"/>
    </xf>
    <xf numFmtId="10" fontId="42" fillId="36" borderId="0" xfId="2" applyNumberFormat="1" applyFont="1" applyFill="1" applyAlignment="1" applyProtection="1">
      <alignment horizontal="left" vertical="center"/>
      <protection hidden="1"/>
    </xf>
    <xf numFmtId="0" fontId="82" fillId="36" borderId="0" xfId="0" applyFont="1" applyFill="1" applyAlignment="1" applyProtection="1">
      <alignment vertical="center" wrapText="1"/>
      <protection hidden="1"/>
    </xf>
    <xf numFmtId="0" fontId="52" fillId="5" borderId="0" xfId="34" applyFont="1" applyFill="1" applyAlignment="1" applyProtection="1">
      <alignment horizontal="left" vertical="center" wrapText="1"/>
      <protection hidden="1"/>
    </xf>
    <xf numFmtId="173" fontId="52" fillId="5" borderId="0" xfId="33" applyNumberFormat="1" applyFont="1" applyFill="1" applyAlignment="1" applyProtection="1">
      <alignment horizontal="left" vertical="center" wrapText="1"/>
      <protection hidden="1"/>
    </xf>
    <xf numFmtId="165" fontId="50" fillId="39" borderId="0" xfId="13" applyNumberFormat="1" applyFont="1" applyFill="1" applyAlignment="1" applyProtection="1">
      <alignment horizontal="left" vertical="center" wrapText="1"/>
      <protection hidden="1"/>
    </xf>
    <xf numFmtId="3" fontId="51" fillId="38" borderId="0" xfId="32" applyNumberFormat="1" applyFont="1" applyFill="1" applyAlignment="1" applyProtection="1">
      <alignment vertical="center" wrapText="1"/>
      <protection hidden="1"/>
    </xf>
    <xf numFmtId="3" fontId="51" fillId="38" borderId="0" xfId="35" applyNumberFormat="1" applyFont="1" applyFill="1" applyAlignment="1" applyProtection="1">
      <alignment horizontal="left" vertical="center" wrapText="1"/>
      <protection hidden="1"/>
    </xf>
    <xf numFmtId="9" fontId="51" fillId="38" borderId="0" xfId="2" applyFont="1" applyFill="1" applyAlignment="1" applyProtection="1">
      <alignment horizontal="left" vertical="center" wrapText="1"/>
      <protection hidden="1"/>
    </xf>
    <xf numFmtId="3" fontId="51" fillId="38" borderId="0" xfId="32" applyNumberFormat="1" applyFont="1" applyFill="1" applyAlignment="1" applyProtection="1">
      <alignment horizontal="left" vertical="center" wrapText="1"/>
      <protection hidden="1"/>
    </xf>
    <xf numFmtId="0" fontId="51" fillId="40" borderId="0" xfId="27" applyFont="1" applyFill="1" applyAlignment="1" applyProtection="1">
      <alignment horizontal="left" vertical="center" wrapText="1"/>
      <protection hidden="1"/>
    </xf>
    <xf numFmtId="3" fontId="51" fillId="40" borderId="0" xfId="27" applyNumberFormat="1" applyFont="1" applyFill="1" applyAlignment="1" applyProtection="1">
      <alignment horizontal="left" vertical="center" wrapText="1"/>
      <protection hidden="1"/>
    </xf>
    <xf numFmtId="165" fontId="51" fillId="40" borderId="0" xfId="27" applyNumberFormat="1" applyFont="1" applyFill="1" applyAlignment="1" applyProtection="1">
      <alignment horizontal="left" vertical="center" wrapText="1"/>
      <protection hidden="1"/>
    </xf>
    <xf numFmtId="3" fontId="50" fillId="39" borderId="0" xfId="1" applyNumberFormat="1" applyFont="1" applyFill="1" applyAlignment="1" applyProtection="1">
      <alignment horizontal="left" vertical="center" wrapText="1"/>
      <protection hidden="1"/>
    </xf>
    <xf numFmtId="9" fontId="50" fillId="39" borderId="0" xfId="2" applyFont="1" applyFill="1" applyAlignment="1" applyProtection="1">
      <alignment horizontal="left" vertical="center" wrapText="1"/>
      <protection hidden="1"/>
    </xf>
    <xf numFmtId="49" fontId="51" fillId="36" borderId="0" xfId="31" applyNumberFormat="1" applyFont="1" applyFill="1" applyAlignment="1" applyProtection="1">
      <alignment horizontal="left" vertical="center" wrapText="1"/>
      <protection hidden="1"/>
    </xf>
    <xf numFmtId="3" fontId="51" fillId="36" borderId="0" xfId="31" applyNumberFormat="1" applyFont="1" applyFill="1" applyAlignment="1" applyProtection="1">
      <alignment horizontal="left" vertical="center" wrapText="1"/>
      <protection hidden="1"/>
    </xf>
    <xf numFmtId="0" fontId="52" fillId="41" borderId="0" xfId="37" applyFont="1" applyFill="1" applyAlignment="1" applyProtection="1">
      <alignment horizontal="left" vertical="center" wrapText="1"/>
      <protection hidden="1"/>
    </xf>
    <xf numFmtId="9" fontId="52" fillId="41" borderId="0" xfId="2" applyFont="1" applyFill="1" applyAlignment="1" applyProtection="1">
      <alignment horizontal="left" vertical="center" wrapText="1"/>
      <protection hidden="1"/>
    </xf>
    <xf numFmtId="0" fontId="51" fillId="42" borderId="0" xfId="35" applyFont="1" applyFill="1" applyAlignment="1" applyProtection="1">
      <alignment horizontal="left" vertical="center" wrapText="1"/>
      <protection hidden="1"/>
    </xf>
    <xf numFmtId="3" fontId="51" fillId="42" borderId="0" xfId="35" applyNumberFormat="1" applyFont="1" applyFill="1" applyAlignment="1" applyProtection="1">
      <alignment horizontal="left" vertical="center" wrapText="1"/>
      <protection hidden="1"/>
    </xf>
    <xf numFmtId="9" fontId="51" fillId="42" borderId="0" xfId="2" applyFont="1" applyFill="1" applyAlignment="1" applyProtection="1">
      <alignment horizontal="left" vertical="center" wrapText="1"/>
      <protection hidden="1"/>
    </xf>
    <xf numFmtId="3" fontId="51" fillId="42" borderId="0" xfId="32" applyNumberFormat="1" applyFont="1" applyFill="1" applyAlignment="1" applyProtection="1">
      <alignment horizontal="left" vertical="center" wrapText="1"/>
      <protection hidden="1"/>
    </xf>
    <xf numFmtId="0" fontId="51" fillId="43" borderId="0" xfId="32" applyFont="1" applyFill="1" applyAlignment="1" applyProtection="1">
      <alignment horizontal="left" vertical="center" wrapText="1"/>
      <protection hidden="1"/>
    </xf>
    <xf numFmtId="3" fontId="51" fillId="43" borderId="0" xfId="32" applyNumberFormat="1" applyFont="1" applyFill="1" applyAlignment="1" applyProtection="1">
      <alignment horizontal="left" vertical="center" wrapText="1"/>
      <protection hidden="1"/>
    </xf>
    <xf numFmtId="9" fontId="51" fillId="43" borderId="0" xfId="2" applyFont="1" applyFill="1" applyAlignment="1" applyProtection="1">
      <alignment horizontal="left" vertical="center" wrapText="1"/>
      <protection hidden="1"/>
    </xf>
    <xf numFmtId="3" fontId="56" fillId="0" borderId="0" xfId="23" applyNumberFormat="1" applyFont="1" applyFill="1" applyBorder="1" applyAlignment="1" applyProtection="1">
      <alignment vertical="top" wrapText="1"/>
      <protection hidden="1"/>
    </xf>
    <xf numFmtId="0" fontId="13" fillId="5" borderId="17" xfId="0" applyFont="1" applyFill="1" applyBorder="1" applyAlignment="1" applyProtection="1">
      <alignment horizontal="left"/>
    </xf>
    <xf numFmtId="3" fontId="42" fillId="5" borderId="0" xfId="0" applyNumberFormat="1" applyFont="1" applyFill="1" applyAlignment="1" applyProtection="1">
      <alignment horizontal="left" vertical="center"/>
    </xf>
    <xf numFmtId="0" fontId="16" fillId="0" borderId="21" xfId="0" applyFont="1" applyBorder="1" applyAlignment="1" applyProtection="1">
      <alignment vertical="center" wrapText="1"/>
    </xf>
    <xf numFmtId="0" fontId="14" fillId="0" borderId="0" xfId="39"/>
    <xf numFmtId="0" fontId="0" fillId="0" borderId="0" xfId="0" applyAlignment="1"/>
    <xf numFmtId="0" fontId="0" fillId="0" borderId="0" xfId="0" applyAlignment="1">
      <alignment wrapText="1"/>
    </xf>
    <xf numFmtId="0" fontId="0" fillId="0" borderId="0" xfId="0" applyFill="1"/>
    <xf numFmtId="9" fontId="16" fillId="5" borderId="9" xfId="2" applyNumberFormat="1" applyFont="1" applyFill="1" applyBorder="1" applyAlignment="1" applyProtection="1">
      <alignment horizontal="left" vertical="center"/>
      <protection locked="0"/>
    </xf>
    <xf numFmtId="0" fontId="0" fillId="44" borderId="0" xfId="0" applyFill="1"/>
    <xf numFmtId="0" fontId="9" fillId="44" borderId="0" xfId="0" applyFont="1" applyFill="1"/>
    <xf numFmtId="0" fontId="0" fillId="44" borderId="0" xfId="0" applyFill="1" applyAlignment="1">
      <alignment wrapText="1"/>
    </xf>
    <xf numFmtId="0" fontId="9" fillId="44" borderId="9" xfId="0" applyFont="1" applyFill="1" applyBorder="1" applyAlignment="1">
      <alignment wrapText="1"/>
    </xf>
    <xf numFmtId="0" fontId="0" fillId="44" borderId="9" xfId="0" applyFill="1" applyBorder="1" applyAlignment="1">
      <alignment vertical="center" wrapText="1"/>
    </xf>
    <xf numFmtId="0" fontId="0" fillId="0" borderId="0" xfId="0" applyAlignment="1">
      <alignment wrapText="1"/>
    </xf>
    <xf numFmtId="0" fontId="34" fillId="4" borderId="11" xfId="23" quotePrefix="1" applyFont="1" applyFill="1" applyBorder="1" applyAlignment="1" applyProtection="1">
      <alignment horizontal="left" vertical="center" wrapText="1"/>
    </xf>
    <xf numFmtId="0" fontId="19" fillId="9" borderId="11" xfId="0" applyFont="1" applyFill="1" applyBorder="1" applyAlignment="1" applyProtection="1">
      <alignment horizontal="left" vertical="center" wrapText="1"/>
    </xf>
    <xf numFmtId="0" fontId="19" fillId="9" borderId="13" xfId="0" applyFont="1" applyFill="1" applyBorder="1" applyAlignment="1" applyProtection="1">
      <alignment horizontal="left" vertical="center" wrapText="1"/>
    </xf>
    <xf numFmtId="0" fontId="16" fillId="0" borderId="21" xfId="0" applyFont="1" applyBorder="1" applyAlignment="1" applyProtection="1">
      <alignment vertical="center" wrapText="1"/>
    </xf>
    <xf numFmtId="0" fontId="16" fillId="0" borderId="36"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20" xfId="0" applyFont="1" applyBorder="1" applyAlignment="1" applyProtection="1">
      <alignment horizontal="left" vertical="center" wrapText="1"/>
    </xf>
    <xf numFmtId="3" fontId="51" fillId="36" borderId="0" xfId="32" applyNumberFormat="1" applyFont="1" applyFill="1" applyAlignment="1" applyProtection="1">
      <alignment horizontal="left" vertical="center" wrapText="1"/>
      <protection hidden="1"/>
    </xf>
    <xf numFmtId="3" fontId="52" fillId="5" borderId="0" xfId="33" applyNumberFormat="1" applyFont="1" applyFill="1" applyAlignment="1" applyProtection="1">
      <alignment horizontal="left" vertical="center" wrapText="1"/>
      <protection hidden="1"/>
    </xf>
    <xf numFmtId="3" fontId="53" fillId="37" borderId="0" xfId="13" applyNumberFormat="1" applyFont="1" applyFill="1" applyAlignment="1" applyProtection="1">
      <alignment horizontal="left" vertical="center" wrapText="1"/>
      <protection hidden="1"/>
    </xf>
    <xf numFmtId="0" fontId="53" fillId="37" borderId="0" xfId="0" applyFont="1" applyFill="1" applyAlignment="1" applyProtection="1">
      <alignment horizontal="left" vertical="center" wrapText="1"/>
      <protection hidden="1"/>
    </xf>
    <xf numFmtId="0" fontId="0" fillId="0" borderId="0" xfId="0" applyAlignment="1">
      <alignment horizontal="left" vertical="top" wrapText="1"/>
    </xf>
    <xf numFmtId="0" fontId="41" fillId="28" borderId="60" xfId="0" applyFont="1" applyFill="1" applyBorder="1" applyAlignment="1">
      <alignment horizontal="justify" vertical="center" wrapText="1"/>
    </xf>
    <xf numFmtId="0" fontId="41" fillId="29" borderId="62" xfId="0" applyFont="1" applyFill="1" applyBorder="1" applyAlignment="1">
      <alignment horizontal="justify" vertical="center" wrapText="1"/>
    </xf>
    <xf numFmtId="0" fontId="41" fillId="30" borderId="64" xfId="0" applyFont="1" applyFill="1" applyBorder="1" applyAlignment="1">
      <alignment horizontal="justify" vertical="center" wrapText="1"/>
    </xf>
    <xf numFmtId="0" fontId="41" fillId="31" borderId="66" xfId="0" applyFont="1" applyFill="1" applyBorder="1" applyAlignment="1">
      <alignment horizontal="justify" vertical="center" wrapText="1"/>
    </xf>
    <xf numFmtId="0" fontId="41" fillId="32" borderId="83" xfId="0" applyFont="1" applyFill="1" applyBorder="1" applyAlignment="1">
      <alignment horizontal="justify" vertical="center" wrapText="1"/>
    </xf>
    <xf numFmtId="0" fontId="41" fillId="35" borderId="75" xfId="0" applyFont="1" applyFill="1" applyBorder="1" applyAlignment="1">
      <alignment horizontal="justify" vertical="center" wrapText="1"/>
    </xf>
    <xf numFmtId="0" fontId="19" fillId="3" borderId="36" xfId="0" applyFont="1" applyFill="1" applyBorder="1" applyAlignment="1" applyProtection="1">
      <alignment horizontal="left" vertical="center"/>
    </xf>
    <xf numFmtId="0" fontId="19" fillId="3" borderId="38" xfId="0" applyFont="1" applyFill="1" applyBorder="1" applyAlignment="1" applyProtection="1">
      <alignment horizontal="left" vertical="center"/>
    </xf>
    <xf numFmtId="0" fontId="19" fillId="3" borderId="49" xfId="0" applyFont="1" applyFill="1" applyBorder="1" applyAlignment="1" applyProtection="1">
      <alignment horizontal="left" vertical="center"/>
    </xf>
    <xf numFmtId="0" fontId="19" fillId="3" borderId="4" xfId="0" applyFont="1" applyFill="1" applyBorder="1" applyAlignment="1" applyProtection="1">
      <alignment horizontal="left" vertical="center"/>
    </xf>
    <xf numFmtId="0" fontId="19" fillId="3" borderId="50" xfId="0" applyFont="1" applyFill="1" applyBorder="1" applyAlignment="1" applyProtection="1">
      <alignment horizontal="left" vertical="center"/>
    </xf>
    <xf numFmtId="0" fontId="19" fillId="3" borderId="36" xfId="0" applyFont="1" applyFill="1" applyBorder="1" applyAlignment="1" applyProtection="1">
      <alignment horizontal="left" vertical="center" wrapText="1"/>
    </xf>
    <xf numFmtId="0" fontId="19" fillId="3" borderId="37" xfId="0" applyFont="1" applyFill="1" applyBorder="1" applyAlignment="1" applyProtection="1">
      <alignment horizontal="left" vertical="center" wrapText="1"/>
    </xf>
    <xf numFmtId="0" fontId="19" fillId="3" borderId="38" xfId="0" applyFont="1" applyFill="1" applyBorder="1" applyAlignment="1" applyProtection="1">
      <alignment horizontal="left" vertical="center" wrapText="1"/>
    </xf>
    <xf numFmtId="168" fontId="16" fillId="5" borderId="9" xfId="0" applyNumberFormat="1" applyFont="1" applyFill="1" applyBorder="1" applyAlignment="1" applyProtection="1">
      <alignment horizontal="left" vertical="center"/>
      <protection locked="0"/>
    </xf>
    <xf numFmtId="0" fontId="44" fillId="0" borderId="0" xfId="0" applyFont="1" applyAlignment="1">
      <alignment horizontal="justify" vertical="center"/>
    </xf>
    <xf numFmtId="0" fontId="14" fillId="0" borderId="0" xfId="39" applyAlignment="1">
      <alignment horizontal="left" vertical="top" wrapText="1"/>
    </xf>
    <xf numFmtId="0" fontId="0" fillId="44" borderId="9" xfId="0" applyFill="1" applyBorder="1" applyAlignment="1">
      <alignment wrapText="1"/>
    </xf>
    <xf numFmtId="0" fontId="0" fillId="44" borderId="9" xfId="0" applyFill="1" applyBorder="1" applyAlignment="1">
      <alignment horizontal="left" vertical="center" wrapText="1"/>
    </xf>
    <xf numFmtId="0" fontId="17" fillId="0" borderId="0" xfId="0" applyFont="1" applyBorder="1" applyAlignment="1" applyProtection="1">
      <alignment horizontal="center" vertical="center"/>
    </xf>
    <xf numFmtId="0" fontId="9" fillId="0" borderId="0" xfId="0" applyFont="1" applyFill="1" applyBorder="1" applyAlignment="1" applyProtection="1">
      <alignment vertical="center" wrapText="1"/>
    </xf>
    <xf numFmtId="0" fontId="65" fillId="0" borderId="0" xfId="40" applyFont="1" applyFill="1" applyBorder="1" applyAlignment="1" applyProtection="1">
      <alignment vertical="center" wrapText="1"/>
    </xf>
    <xf numFmtId="2" fontId="66" fillId="0" borderId="0" xfId="23" applyNumberFormat="1" applyFont="1" applyFill="1" applyBorder="1" applyAlignment="1" applyProtection="1">
      <alignment horizontal="left" vertical="center"/>
    </xf>
    <xf numFmtId="0" fontId="19" fillId="0" borderId="0" xfId="0" applyFont="1" applyAlignment="1" applyProtection="1">
      <alignment horizontal="left"/>
    </xf>
    <xf numFmtId="0" fontId="16" fillId="0" borderId="0" xfId="0" applyFont="1" applyAlignment="1" applyProtection="1">
      <alignment horizontal="center"/>
    </xf>
    <xf numFmtId="0" fontId="62" fillId="0" borderId="0" xfId="0" quotePrefix="1" applyFont="1" applyAlignment="1" applyProtection="1">
      <alignment horizontal="left"/>
    </xf>
    <xf numFmtId="0" fontId="62" fillId="0" borderId="0" xfId="0" applyFont="1" applyAlignment="1" applyProtection="1">
      <alignment horizontal="left"/>
    </xf>
    <xf numFmtId="3" fontId="16" fillId="0" borderId="0" xfId="0" applyNumberFormat="1" applyFont="1" applyAlignment="1" applyProtection="1">
      <alignment horizontal="center"/>
    </xf>
    <xf numFmtId="3" fontId="16" fillId="0" borderId="0" xfId="0" applyNumberFormat="1" applyFont="1" applyAlignment="1" applyProtection="1"/>
    <xf numFmtId="4" fontId="43" fillId="0" borderId="0" xfId="0" applyNumberFormat="1" applyFont="1" applyAlignment="1" applyProtection="1">
      <alignment horizontal="center"/>
    </xf>
    <xf numFmtId="2" fontId="43" fillId="0" borderId="0" xfId="0" applyNumberFormat="1" applyFont="1" applyAlignment="1" applyProtection="1">
      <alignment horizontal="center"/>
    </xf>
    <xf numFmtId="0" fontId="16" fillId="6" borderId="9" xfId="0" applyFont="1" applyFill="1" applyBorder="1" applyProtection="1"/>
    <xf numFmtId="0" fontId="16" fillId="0" borderId="31" xfId="0" applyFont="1" applyBorder="1" applyProtection="1"/>
    <xf numFmtId="0" fontId="37" fillId="0" borderId="0" xfId="0" applyFont="1" applyProtection="1"/>
    <xf numFmtId="0" fontId="16" fillId="0" borderId="0" xfId="0" applyFont="1" applyBorder="1" applyAlignment="1" applyProtection="1"/>
    <xf numFmtId="0" fontId="16" fillId="0" borderId="0" xfId="0" applyFont="1" applyBorder="1" applyAlignment="1" applyProtection="1">
      <alignment horizontal="center"/>
    </xf>
    <xf numFmtId="0" fontId="16" fillId="0" borderId="21" xfId="0" applyFont="1" applyBorder="1" applyAlignment="1" applyProtection="1">
      <alignment horizontal="center"/>
    </xf>
    <xf numFmtId="4" fontId="43" fillId="0" borderId="0" xfId="0" applyNumberFormat="1" applyFont="1" applyBorder="1" applyAlignment="1" applyProtection="1">
      <alignment horizontal="center"/>
    </xf>
    <xf numFmtId="0" fontId="16" fillId="0" borderId="22" xfId="0" applyFont="1" applyBorder="1" applyAlignment="1" applyProtection="1">
      <alignment horizontal="center"/>
    </xf>
    <xf numFmtId="0" fontId="16" fillId="0" borderId="32" xfId="0" applyFont="1" applyBorder="1" applyProtection="1"/>
    <xf numFmtId="3" fontId="16" fillId="0" borderId="26" xfId="0" applyNumberFormat="1" applyFont="1" applyBorder="1" applyAlignment="1" applyProtection="1">
      <alignment horizontal="center"/>
    </xf>
    <xf numFmtId="0" fontId="16" fillId="0" borderId="20" xfId="0" applyFont="1" applyBorder="1" applyProtection="1"/>
    <xf numFmtId="0" fontId="16" fillId="0" borderId="27" xfId="0" applyFont="1" applyBorder="1" applyAlignment="1" applyProtection="1">
      <alignment horizontal="center"/>
    </xf>
    <xf numFmtId="3" fontId="16" fillId="0" borderId="28" xfId="0" applyNumberFormat="1" applyFont="1" applyBorder="1" applyAlignment="1" applyProtection="1">
      <alignment horizontal="center"/>
    </xf>
    <xf numFmtId="0" fontId="19" fillId="0" borderId="0" xfId="0" applyFont="1" applyFill="1" applyBorder="1" applyAlignment="1" applyProtection="1"/>
    <xf numFmtId="3" fontId="16" fillId="0" borderId="0" xfId="0" applyNumberFormat="1" applyFont="1" applyFill="1" applyBorder="1" applyAlignment="1" applyProtection="1">
      <alignment horizontal="center"/>
    </xf>
    <xf numFmtId="0" fontId="16" fillId="0" borderId="0" xfId="0" applyFont="1" applyFill="1" applyBorder="1" applyProtection="1"/>
    <xf numFmtId="2" fontId="43" fillId="0" borderId="0" xfId="0" applyNumberFormat="1" applyFont="1" applyBorder="1" applyAlignment="1" applyProtection="1">
      <alignment horizontal="center"/>
    </xf>
    <xf numFmtId="0" fontId="16" fillId="0" borderId="0" xfId="0" applyFont="1" applyFill="1" applyBorder="1" applyAlignment="1" applyProtection="1">
      <alignment horizontal="center"/>
    </xf>
    <xf numFmtId="0" fontId="19" fillId="9" borderId="28" xfId="0" applyFont="1" applyFill="1" applyBorder="1" applyAlignment="1" applyProtection="1">
      <alignment vertical="center"/>
    </xf>
    <xf numFmtId="3" fontId="16" fillId="9" borderId="45" xfId="0" applyNumberFormat="1" applyFont="1" applyFill="1" applyBorder="1" applyAlignment="1" applyProtection="1">
      <alignment horizontal="center" vertical="center"/>
    </xf>
    <xf numFmtId="0" fontId="19" fillId="9" borderId="32" xfId="0" applyFont="1" applyFill="1" applyBorder="1" applyAlignment="1" applyProtection="1">
      <alignment vertical="center"/>
    </xf>
    <xf numFmtId="3" fontId="16" fillId="0" borderId="0" xfId="0" applyNumberFormat="1" applyFont="1" applyAlignment="1" applyProtection="1">
      <alignment horizontal="left"/>
    </xf>
    <xf numFmtId="3" fontId="16" fillId="0" borderId="0" xfId="0" applyNumberFormat="1" applyFont="1" applyProtection="1"/>
    <xf numFmtId="2" fontId="43" fillId="0" borderId="0" xfId="0" applyNumberFormat="1" applyFont="1" applyAlignment="1" applyProtection="1">
      <alignment horizontal="left"/>
    </xf>
    <xf numFmtId="4" fontId="43" fillId="0" borderId="0" xfId="0" applyNumberFormat="1" applyFont="1" applyAlignment="1" applyProtection="1">
      <alignment horizontal="left"/>
    </xf>
    <xf numFmtId="3" fontId="19" fillId="6" borderId="11" xfId="0" applyNumberFormat="1" applyFont="1" applyFill="1" applyBorder="1" applyAlignment="1" applyProtection="1">
      <alignment vertical="center"/>
    </xf>
    <xf numFmtId="0" fontId="19" fillId="6" borderId="12" xfId="0" applyFont="1" applyFill="1" applyBorder="1" applyAlignment="1" applyProtection="1">
      <alignment vertical="center"/>
    </xf>
    <xf numFmtId="0" fontId="45" fillId="6" borderId="12" xfId="0" applyFont="1" applyFill="1" applyBorder="1" applyAlignment="1" applyProtection="1">
      <alignment vertical="center"/>
    </xf>
    <xf numFmtId="3" fontId="26" fillId="6" borderId="12" xfId="0" applyNumberFormat="1" applyFont="1" applyFill="1" applyBorder="1" applyAlignment="1" applyProtection="1">
      <alignment vertical="center"/>
    </xf>
    <xf numFmtId="0" fontId="19" fillId="6" borderId="13" xfId="0" applyFont="1" applyFill="1" applyBorder="1" applyAlignment="1" applyProtection="1">
      <alignment vertical="center"/>
    </xf>
    <xf numFmtId="172" fontId="16" fillId="0" borderId="0" xfId="0" applyNumberFormat="1" applyFont="1" applyProtection="1"/>
    <xf numFmtId="0" fontId="58" fillId="0" borderId="0" xfId="23" applyFont="1" applyBorder="1" applyAlignment="1" applyProtection="1">
      <alignment wrapText="1"/>
    </xf>
    <xf numFmtId="0" fontId="57" fillId="0" borderId="0" xfId="0" applyFont="1" applyBorder="1" applyAlignment="1" applyProtection="1">
      <alignment wrapText="1"/>
    </xf>
    <xf numFmtId="0" fontId="16" fillId="0" borderId="0" xfId="0" applyFont="1" applyAlignment="1" applyProtection="1">
      <alignment vertical="top" wrapText="1"/>
    </xf>
    <xf numFmtId="3" fontId="59" fillId="26" borderId="27" xfId="23" applyNumberFormat="1" applyFont="1" applyFill="1" applyBorder="1" applyAlignment="1" applyProtection="1">
      <alignment vertical="top" wrapText="1"/>
    </xf>
    <xf numFmtId="0" fontId="16" fillId="0" borderId="0" xfId="0" applyFont="1" applyAlignment="1" applyProtection="1">
      <alignment wrapText="1"/>
    </xf>
    <xf numFmtId="0" fontId="57" fillId="0" borderId="0" xfId="0" applyFont="1" applyBorder="1" applyAlignment="1" applyProtection="1"/>
    <xf numFmtId="0" fontId="83" fillId="0" borderId="0" xfId="0" applyFont="1" applyProtection="1"/>
    <xf numFmtId="0" fontId="42" fillId="0" borderId="0" xfId="0" applyFont="1" applyProtection="1"/>
    <xf numFmtId="0" fontId="42" fillId="0" borderId="0" xfId="0" applyFont="1" applyAlignment="1" applyProtection="1">
      <alignment horizontal="left" vertical="center"/>
    </xf>
    <xf numFmtId="0" fontId="0" fillId="0" borderId="0" xfId="0" applyAlignment="1" applyProtection="1">
      <alignment horizontal="left"/>
    </xf>
    <xf numFmtId="0" fontId="0" fillId="0" borderId="0" xfId="0" applyFill="1" applyProtection="1"/>
    <xf numFmtId="0" fontId="42" fillId="0" borderId="0" xfId="0" applyFont="1" applyFill="1" applyAlignment="1" applyProtection="1">
      <alignment horizontal="left" vertical="center"/>
    </xf>
    <xf numFmtId="0" fontId="42" fillId="5" borderId="0" xfId="0" applyFont="1" applyFill="1" applyAlignment="1" applyProtection="1">
      <alignment horizontal="left" vertical="center"/>
    </xf>
    <xf numFmtId="0" fontId="0" fillId="0" borderId="0" xfId="0" applyFill="1" applyBorder="1" applyAlignment="1" applyProtection="1">
      <alignment horizontal="center" vertical="center"/>
    </xf>
    <xf numFmtId="0" fontId="0" fillId="0" borderId="0" xfId="0" applyFill="1" applyBorder="1" applyProtection="1"/>
    <xf numFmtId="0" fontId="26" fillId="0" borderId="0" xfId="0" applyFont="1" applyFill="1" applyBorder="1" applyAlignment="1" applyProtection="1">
      <alignment vertical="center" wrapText="1"/>
    </xf>
    <xf numFmtId="1" fontId="0" fillId="0" borderId="0" xfId="0" applyNumberFormat="1" applyFont="1" applyBorder="1" applyAlignment="1" applyProtection="1">
      <alignment horizontal="center" vertical="center"/>
    </xf>
    <xf numFmtId="0" fontId="9" fillId="0" borderId="0" xfId="0" applyFont="1" applyFill="1" applyBorder="1" applyProtection="1"/>
    <xf numFmtId="2" fontId="0" fillId="0" borderId="0" xfId="2" applyNumberFormat="1"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3" fontId="0" fillId="0" borderId="0" xfId="0" applyNumberFormat="1" applyFill="1" applyBorder="1" applyAlignment="1" applyProtection="1">
      <alignment horizontal="center" vertical="center"/>
    </xf>
    <xf numFmtId="0" fontId="38" fillId="0" borderId="0" xfId="0" applyFont="1" applyFill="1" applyBorder="1" applyAlignment="1" applyProtection="1">
      <alignment horizontal="left" vertical="center"/>
    </xf>
    <xf numFmtId="173" fontId="0" fillId="0" borderId="0" xfId="0" applyNumberFormat="1" applyFont="1" applyBorder="1" applyAlignment="1" applyProtection="1">
      <alignment horizontal="center" vertical="center"/>
    </xf>
    <xf numFmtId="173" fontId="0" fillId="0" borderId="0" xfId="0" applyNumberFormat="1" applyFont="1" applyFill="1" applyBorder="1" applyAlignment="1" applyProtection="1">
      <alignment horizontal="center" vertical="center"/>
    </xf>
    <xf numFmtId="0" fontId="0" fillId="0" borderId="0" xfId="0" applyFill="1" applyBorder="1" applyAlignment="1" applyProtection="1">
      <alignment horizontal="left" vertical="center"/>
    </xf>
    <xf numFmtId="0" fontId="0" fillId="0" borderId="0" xfId="0" applyFont="1" applyBorder="1" applyAlignment="1" applyProtection="1">
      <alignment horizontal="left" vertical="center"/>
    </xf>
    <xf numFmtId="0" fontId="16" fillId="0" borderId="13" xfId="0" applyFont="1" applyBorder="1" applyAlignment="1" applyProtection="1">
      <alignment horizontal="left" vertical="center" wrapText="1"/>
    </xf>
    <xf numFmtId="4" fontId="43" fillId="0" borderId="0" xfId="0" applyNumberFormat="1" applyFont="1" applyAlignment="1" applyProtection="1">
      <alignment horizontal="center"/>
    </xf>
    <xf numFmtId="0" fontId="19" fillId="7" borderId="54" xfId="0" applyFont="1" applyFill="1" applyBorder="1" applyAlignment="1" applyProtection="1">
      <alignment horizontal="center"/>
    </xf>
    <xf numFmtId="0" fontId="19" fillId="7" borderId="55" xfId="0" applyFont="1" applyFill="1" applyBorder="1" applyAlignment="1" applyProtection="1">
      <alignment horizontal="center"/>
    </xf>
    <xf numFmtId="0" fontId="19" fillId="7" borderId="56" xfId="0" applyFont="1" applyFill="1" applyBorder="1" applyAlignment="1" applyProtection="1">
      <alignment horizontal="center"/>
    </xf>
    <xf numFmtId="3" fontId="56" fillId="26" borderId="0" xfId="23" applyNumberFormat="1" applyFont="1" applyFill="1" applyBorder="1" applyAlignment="1" applyProtection="1">
      <alignment horizontal="left" vertical="top" wrapText="1"/>
      <protection hidden="1"/>
    </xf>
    <xf numFmtId="0" fontId="46" fillId="7" borderId="17" xfId="0" applyFont="1" applyFill="1" applyBorder="1" applyAlignment="1" applyProtection="1"/>
    <xf numFmtId="0" fontId="46" fillId="7" borderId="18" xfId="0" applyFont="1" applyFill="1" applyBorder="1" applyAlignment="1" applyProtection="1"/>
    <xf numFmtId="0" fontId="46" fillId="7" borderId="19" xfId="0" applyFont="1" applyFill="1" applyBorder="1" applyAlignment="1" applyProtection="1"/>
    <xf numFmtId="2" fontId="20" fillId="0" borderId="5" xfId="0" applyNumberFormat="1" applyFont="1" applyBorder="1" applyAlignment="1" applyProtection="1">
      <alignment horizontal="left" vertical="center"/>
    </xf>
    <xf numFmtId="4" fontId="20" fillId="0" borderId="5" xfId="0" applyNumberFormat="1" applyFont="1" applyBorder="1" applyAlignment="1" applyProtection="1">
      <alignment horizontal="left" vertical="center"/>
    </xf>
    <xf numFmtId="2" fontId="20" fillId="0" borderId="41" xfId="0" applyNumberFormat="1" applyFont="1" applyBorder="1" applyAlignment="1" applyProtection="1">
      <alignment horizontal="left" vertical="center"/>
    </xf>
    <xf numFmtId="0" fontId="19" fillId="7" borderId="48" xfId="0" applyFont="1" applyFill="1" applyBorder="1" applyAlignment="1" applyProtection="1">
      <alignment horizontal="left" vertical="center" wrapText="1"/>
    </xf>
    <xf numFmtId="3" fontId="19" fillId="3" borderId="39" xfId="1" applyNumberFormat="1" applyFont="1" applyFill="1" applyBorder="1" applyAlignment="1" applyProtection="1">
      <alignment horizontal="left" vertical="center"/>
    </xf>
    <xf numFmtId="0" fontId="19" fillId="3" borderId="39" xfId="0" applyFont="1" applyFill="1" applyBorder="1" applyAlignment="1" applyProtection="1">
      <alignment horizontal="left"/>
    </xf>
    <xf numFmtId="0" fontId="19" fillId="7" borderId="23" xfId="0" applyFont="1" applyFill="1" applyBorder="1" applyAlignment="1" applyProtection="1">
      <alignment horizontal="left" vertical="center" wrapText="1"/>
    </xf>
    <xf numFmtId="0" fontId="19" fillId="3" borderId="39" xfId="0" applyFont="1" applyFill="1" applyBorder="1" applyAlignment="1" applyProtection="1">
      <alignment horizontal="left" vertical="center"/>
    </xf>
    <xf numFmtId="3" fontId="19" fillId="3" borderId="39" xfId="0" applyNumberFormat="1" applyFont="1" applyFill="1" applyBorder="1" applyAlignment="1" applyProtection="1">
      <alignment horizontal="left" vertical="center"/>
    </xf>
    <xf numFmtId="0" fontId="19" fillId="3" borderId="14" xfId="0" applyFont="1" applyFill="1" applyBorder="1" applyAlignment="1" applyProtection="1">
      <alignment horizontal="left"/>
    </xf>
    <xf numFmtId="0" fontId="37" fillId="3" borderId="39" xfId="0" applyFont="1" applyFill="1" applyBorder="1" applyAlignment="1" applyProtection="1">
      <alignment horizontal="left"/>
    </xf>
    <xf numFmtId="2" fontId="20" fillId="0" borderId="25" xfId="0" applyNumberFormat="1" applyFont="1" applyBorder="1" applyAlignment="1" applyProtection="1">
      <alignment horizontal="left" vertical="center"/>
    </xf>
    <xf numFmtId="0" fontId="37" fillId="7" borderId="23" xfId="0" applyFont="1" applyFill="1" applyBorder="1" applyAlignment="1" applyProtection="1">
      <alignment horizontal="left" vertical="center" wrapText="1"/>
    </xf>
    <xf numFmtId="0" fontId="16" fillId="0" borderId="0" xfId="0" applyFont="1" applyBorder="1" applyAlignment="1" applyProtection="1">
      <alignment horizontal="left" vertical="center"/>
      <protection locked="0"/>
    </xf>
    <xf numFmtId="0" fontId="18" fillId="0" borderId="0" xfId="0" applyFont="1"/>
    <xf numFmtId="0" fontId="88" fillId="0" borderId="0" xfId="0" applyFont="1"/>
    <xf numFmtId="0" fontId="89" fillId="0" borderId="0" xfId="0" applyFont="1"/>
    <xf numFmtId="0" fontId="21" fillId="0" borderId="0" xfId="0" applyFont="1"/>
    <xf numFmtId="0" fontId="74" fillId="0" borderId="9" xfId="39" applyFont="1" applyFill="1" applyBorder="1" applyAlignment="1" applyProtection="1">
      <alignment horizontal="left" vertical="center" wrapText="1"/>
    </xf>
    <xf numFmtId="0" fontId="74" fillId="0" borderId="29" xfId="39" applyFont="1" applyFill="1" applyBorder="1" applyAlignment="1" applyProtection="1">
      <alignment horizontal="left" vertical="center" wrapText="1"/>
    </xf>
    <xf numFmtId="0" fontId="16" fillId="0" borderId="98" xfId="0" applyFont="1" applyFill="1" applyBorder="1" applyAlignment="1" applyProtection="1">
      <alignment horizontal="center" vertical="center"/>
    </xf>
    <xf numFmtId="0" fontId="44" fillId="5" borderId="11" xfId="0" applyFont="1" applyFill="1" applyBorder="1" applyAlignment="1" applyProtection="1"/>
    <xf numFmtId="0" fontId="44" fillId="5" borderId="13" xfId="0" applyFont="1" applyFill="1" applyBorder="1" applyAlignment="1" applyProtection="1"/>
    <xf numFmtId="0" fontId="16" fillId="9" borderId="22" xfId="0" applyFont="1" applyFill="1" applyBorder="1" applyProtection="1"/>
    <xf numFmtId="0" fontId="16" fillId="0" borderId="30" xfId="0" applyFont="1" applyFill="1" applyBorder="1"/>
    <xf numFmtId="0" fontId="16" fillId="0" borderId="31" xfId="0" applyFont="1" applyFill="1" applyBorder="1"/>
    <xf numFmtId="0" fontId="16" fillId="0" borderId="32" xfId="0" applyFont="1" applyFill="1" applyBorder="1"/>
    <xf numFmtId="0" fontId="44" fillId="5" borderId="9" xfId="0" applyFont="1" applyFill="1" applyBorder="1" applyAlignment="1" applyProtection="1"/>
    <xf numFmtId="172" fontId="16" fillId="0" borderId="31" xfId="0" applyNumberFormat="1" applyFont="1" applyBorder="1"/>
    <xf numFmtId="0" fontId="16" fillId="0" borderId="32" xfId="0" applyFont="1" applyBorder="1"/>
    <xf numFmtId="0" fontId="57" fillId="0" borderId="45" xfId="0" applyFont="1" applyBorder="1" applyAlignment="1" applyProtection="1">
      <alignment vertical="top" wrapText="1"/>
    </xf>
    <xf numFmtId="0" fontId="19" fillId="46" borderId="9" xfId="0" applyFont="1" applyFill="1" applyBorder="1"/>
    <xf numFmtId="0" fontId="19" fillId="46" borderId="12" xfId="0" applyFont="1" applyFill="1" applyBorder="1"/>
    <xf numFmtId="0" fontId="19" fillId="46" borderId="13" xfId="0" applyFont="1" applyFill="1" applyBorder="1"/>
    <xf numFmtId="0" fontId="16" fillId="46" borderId="0" xfId="0" applyFont="1" applyFill="1" applyBorder="1" applyAlignment="1">
      <alignment horizontal="left"/>
    </xf>
    <xf numFmtId="3" fontId="16" fillId="46" borderId="21" xfId="0" applyNumberFormat="1" applyFont="1" applyFill="1" applyBorder="1" applyAlignment="1">
      <alignment horizontal="left"/>
    </xf>
    <xf numFmtId="9" fontId="16" fillId="46" borderId="31" xfId="0" applyNumberFormat="1" applyFont="1" applyFill="1" applyBorder="1" applyAlignment="1">
      <alignment horizontal="left"/>
    </xf>
    <xf numFmtId="0" fontId="16" fillId="46" borderId="46" xfId="0" applyFont="1" applyFill="1" applyBorder="1" applyAlignment="1">
      <alignment horizontal="left"/>
    </xf>
    <xf numFmtId="3" fontId="16" fillId="46" borderId="20" xfId="0" applyNumberFormat="1" applyFont="1" applyFill="1" applyBorder="1" applyAlignment="1">
      <alignment horizontal="left"/>
    </xf>
    <xf numFmtId="0" fontId="16" fillId="46" borderId="0" xfId="0" applyFont="1" applyFill="1" applyBorder="1"/>
    <xf numFmtId="0" fontId="16" fillId="46" borderId="45" xfId="0" applyFont="1" applyFill="1" applyBorder="1"/>
    <xf numFmtId="3" fontId="16" fillId="46" borderId="22" xfId="0" applyNumberFormat="1" applyFont="1" applyFill="1" applyBorder="1" applyAlignment="1">
      <alignment horizontal="left"/>
    </xf>
    <xf numFmtId="0" fontId="16" fillId="0" borderId="0" xfId="0" applyFont="1" applyFill="1" applyBorder="1" applyAlignment="1">
      <alignment vertical="center"/>
    </xf>
    <xf numFmtId="9" fontId="29" fillId="4" borderId="11" xfId="2" applyNumberFormat="1" applyFont="1" applyFill="1" applyBorder="1" applyAlignment="1" applyProtection="1">
      <alignment horizontal="left" vertical="center"/>
    </xf>
    <xf numFmtId="10" fontId="29" fillId="4" borderId="9" xfId="2" applyNumberFormat="1" applyFont="1" applyFill="1" applyBorder="1" applyAlignment="1" applyProtection="1">
      <alignment horizontal="left" vertical="center"/>
    </xf>
    <xf numFmtId="10" fontId="29" fillId="4" borderId="9" xfId="23" applyNumberFormat="1" applyFill="1" applyBorder="1" applyAlignment="1" applyProtection="1">
      <alignment horizontal="left" vertical="center"/>
    </xf>
    <xf numFmtId="10" fontId="29" fillId="4" borderId="11" xfId="23" applyNumberFormat="1" applyFill="1" applyBorder="1" applyAlignment="1" applyProtection="1">
      <alignment horizontal="left" vertical="center"/>
    </xf>
    <xf numFmtId="10" fontId="16" fillId="5" borderId="9" xfId="2" applyNumberFormat="1" applyFont="1" applyFill="1" applyBorder="1" applyAlignment="1" applyProtection="1">
      <alignment horizontal="left" vertical="center"/>
      <protection locked="0"/>
    </xf>
    <xf numFmtId="10" fontId="20" fillId="5" borderId="9" xfId="2" applyNumberFormat="1" applyFont="1" applyFill="1" applyBorder="1" applyAlignment="1" applyProtection="1">
      <alignment horizontal="left" vertical="center"/>
      <protection locked="0"/>
    </xf>
    <xf numFmtId="10" fontId="20" fillId="5" borderId="11" xfId="2" applyNumberFormat="1" applyFont="1" applyFill="1" applyBorder="1" applyAlignment="1" applyProtection="1">
      <alignment horizontal="left" vertical="center"/>
      <protection locked="0"/>
    </xf>
    <xf numFmtId="3" fontId="16" fillId="0" borderId="21" xfId="1" applyNumberFormat="1" applyFont="1" applyFill="1" applyBorder="1" applyAlignment="1" applyProtection="1">
      <alignment horizontal="left" vertical="center"/>
    </xf>
    <xf numFmtId="174" fontId="0" fillId="0" borderId="0" xfId="0" applyNumberFormat="1" applyFont="1" applyFill="1" applyBorder="1" applyAlignment="1" applyProtection="1">
      <alignment horizontal="center" vertical="center"/>
    </xf>
    <xf numFmtId="3" fontId="0" fillId="0" borderId="0" xfId="0" applyNumberFormat="1" applyFont="1" applyFill="1" applyBorder="1" applyAlignment="1" applyProtection="1">
      <alignment horizontal="center" vertical="center"/>
    </xf>
    <xf numFmtId="166" fontId="16" fillId="46" borderId="31" xfId="2" applyNumberFormat="1" applyFont="1" applyFill="1" applyBorder="1" applyAlignment="1">
      <alignment horizontal="left"/>
    </xf>
    <xf numFmtId="9" fontId="16" fillId="46" borderId="31" xfId="2" applyNumberFormat="1" applyFont="1" applyFill="1" applyBorder="1" applyAlignment="1">
      <alignment horizontal="left"/>
    </xf>
    <xf numFmtId="9" fontId="16" fillId="46" borderId="30" xfId="2" applyNumberFormat="1" applyFont="1" applyFill="1" applyBorder="1" applyAlignment="1">
      <alignment horizontal="left"/>
    </xf>
    <xf numFmtId="9" fontId="16" fillId="46" borderId="32" xfId="2" applyNumberFormat="1" applyFont="1" applyFill="1" applyBorder="1" applyAlignment="1">
      <alignment horizontal="left"/>
    </xf>
    <xf numFmtId="0" fontId="9" fillId="0" borderId="0" xfId="0" applyFont="1" applyFill="1" applyAlignment="1"/>
    <xf numFmtId="0" fontId="13" fillId="0" borderId="0" xfId="0" applyFont="1"/>
    <xf numFmtId="0" fontId="0" fillId="0" borderId="0" xfId="0" applyAlignment="1">
      <alignment vertical="top"/>
    </xf>
    <xf numFmtId="0" fontId="16" fillId="0" borderId="20" xfId="0" applyFont="1" applyBorder="1" applyAlignment="1" applyProtection="1">
      <alignment vertical="center" wrapText="1"/>
    </xf>
    <xf numFmtId="0" fontId="0" fillId="0" borderId="9" xfId="0" applyBorder="1" applyProtection="1">
      <protection locked="0"/>
    </xf>
    <xf numFmtId="0" fontId="0" fillId="0" borderId="9" xfId="0" applyBorder="1" applyAlignment="1" applyProtection="1">
      <alignment horizontal="left" vertical="top" wrapText="1"/>
      <protection locked="0"/>
    </xf>
    <xf numFmtId="0" fontId="9" fillId="0" borderId="9" xfId="0" applyFont="1" applyBorder="1" applyProtection="1"/>
    <xf numFmtId="0" fontId="9" fillId="0" borderId="9" xfId="0" applyFont="1" applyBorder="1" applyAlignment="1" applyProtection="1">
      <alignment horizontal="left" vertical="top"/>
    </xf>
    <xf numFmtId="0" fontId="0" fillId="0" borderId="0" xfId="0" applyAlignment="1">
      <alignment horizontal="left" vertical="top" wrapText="1"/>
    </xf>
    <xf numFmtId="0" fontId="0" fillId="0" borderId="0" xfId="0" applyFont="1" applyAlignment="1">
      <alignment horizontal="left" vertical="top" wrapText="1"/>
    </xf>
    <xf numFmtId="0" fontId="9" fillId="22" borderId="9" xfId="0" applyFont="1" applyFill="1" applyBorder="1" applyAlignment="1" applyProtection="1">
      <alignment horizontal="left"/>
      <protection locked="0"/>
    </xf>
    <xf numFmtId="0" fontId="0" fillId="0" borderId="0" xfId="0" applyFont="1" applyAlignment="1">
      <alignment horizontal="left" vertical="top"/>
    </xf>
    <xf numFmtId="0" fontId="0" fillId="0" borderId="0" xfId="0" applyFont="1" applyAlignment="1">
      <alignment horizontal="left" wrapText="1"/>
    </xf>
    <xf numFmtId="0" fontId="74" fillId="0" borderId="36" xfId="39" applyFont="1" applyFill="1" applyBorder="1" applyAlignment="1" applyProtection="1">
      <alignment horizontal="left" vertical="center" wrapText="1"/>
    </xf>
    <xf numFmtId="0" fontId="74" fillId="0" borderId="37" xfId="39" applyFont="1" applyFill="1" applyBorder="1" applyAlignment="1" applyProtection="1">
      <alignment horizontal="left" vertical="center" wrapText="1"/>
    </xf>
    <xf numFmtId="0" fontId="74" fillId="0" borderId="38" xfId="39" applyFont="1" applyFill="1" applyBorder="1" applyAlignment="1" applyProtection="1">
      <alignment horizontal="left" vertical="center" wrapText="1"/>
    </xf>
    <xf numFmtId="0" fontId="74" fillId="0" borderId="20" xfId="39" applyFont="1" applyBorder="1" applyAlignment="1" applyProtection="1">
      <alignment horizontal="left" vertical="center" wrapText="1"/>
    </xf>
    <xf numFmtId="0" fontId="74" fillId="0" borderId="21" xfId="39" applyFont="1" applyBorder="1" applyAlignment="1" applyProtection="1">
      <alignment horizontal="left" vertical="center" wrapText="1"/>
    </xf>
    <xf numFmtId="0" fontId="74" fillId="0" borderId="22" xfId="39" applyFont="1" applyBorder="1" applyAlignment="1" applyProtection="1">
      <alignment horizontal="left" vertical="center" wrapText="1"/>
    </xf>
    <xf numFmtId="167" fontId="20" fillId="5" borderId="14" xfId="1" applyNumberFormat="1" applyFont="1" applyFill="1" applyBorder="1" applyAlignment="1" applyProtection="1">
      <alignment horizontal="center" vertical="center"/>
      <protection locked="0"/>
    </xf>
    <xf numFmtId="167" fontId="20" fillId="5" borderId="16" xfId="1" applyNumberFormat="1" applyFont="1" applyFill="1" applyBorder="1" applyAlignment="1" applyProtection="1">
      <alignment horizontal="center" vertical="center"/>
      <protection locked="0"/>
    </xf>
    <xf numFmtId="167" fontId="20" fillId="5" borderId="15" xfId="1" applyNumberFormat="1" applyFont="1" applyFill="1" applyBorder="1" applyAlignment="1" applyProtection="1">
      <alignment horizontal="center" vertical="center"/>
      <protection locked="0"/>
    </xf>
    <xf numFmtId="0" fontId="74" fillId="0" borderId="36" xfId="39" applyFont="1" applyFill="1" applyBorder="1" applyAlignment="1" applyProtection="1">
      <alignment vertical="center" wrapText="1"/>
    </xf>
    <xf numFmtId="0" fontId="74" fillId="0" borderId="37" xfId="39" applyFont="1" applyFill="1" applyBorder="1" applyAlignment="1" applyProtection="1">
      <alignment vertical="center" wrapText="1"/>
    </xf>
    <xf numFmtId="0" fontId="74" fillId="0" borderId="38" xfId="39" applyFont="1" applyFill="1" applyBorder="1" applyAlignment="1" applyProtection="1">
      <alignment vertical="center" wrapText="1"/>
    </xf>
    <xf numFmtId="0" fontId="34" fillId="4" borderId="11" xfId="23" quotePrefix="1" applyFont="1" applyFill="1" applyBorder="1" applyAlignment="1" applyProtection="1">
      <alignment horizontal="left" vertical="center" wrapText="1"/>
    </xf>
    <xf numFmtId="0" fontId="34" fillId="4" borderId="13" xfId="23" quotePrefix="1" applyFont="1" applyFill="1" applyBorder="1" applyAlignment="1" applyProtection="1">
      <alignment horizontal="left" vertical="center" wrapText="1"/>
    </xf>
    <xf numFmtId="0" fontId="74" fillId="0" borderId="26" xfId="39" applyFont="1" applyBorder="1" applyAlignment="1" applyProtection="1">
      <alignment horizontal="left" vertical="center" wrapText="1"/>
    </xf>
    <xf numFmtId="0" fontId="74" fillId="0" borderId="30" xfId="39" applyFont="1" applyBorder="1" applyAlignment="1" applyProtection="1">
      <alignment horizontal="left" vertical="center" wrapText="1"/>
    </xf>
    <xf numFmtId="0" fontId="74" fillId="0" borderId="27" xfId="39" applyFont="1" applyBorder="1" applyAlignment="1" applyProtection="1">
      <alignment horizontal="left" vertical="center" wrapText="1"/>
    </xf>
    <xf numFmtId="0" fontId="74" fillId="0" borderId="31" xfId="39" applyFont="1" applyBorder="1" applyAlignment="1" applyProtection="1">
      <alignment horizontal="left" vertical="center" wrapText="1"/>
    </xf>
    <xf numFmtId="0" fontId="19" fillId="9" borderId="11" xfId="0" applyFont="1" applyFill="1" applyBorder="1" applyAlignment="1" applyProtection="1">
      <alignment horizontal="left" vertical="center" wrapText="1"/>
    </xf>
    <xf numFmtId="0" fontId="19" fillId="9" borderId="13" xfId="0" applyFont="1" applyFill="1" applyBorder="1" applyAlignment="1" applyProtection="1">
      <alignment horizontal="left" vertical="center" wrapText="1"/>
    </xf>
    <xf numFmtId="0" fontId="74" fillId="0" borderId="26" xfId="39" applyFont="1" applyFill="1" applyBorder="1" applyAlignment="1" applyProtection="1">
      <alignment horizontal="left" vertical="center" wrapText="1"/>
    </xf>
    <xf numFmtId="0" fontId="74" fillId="0" borderId="30" xfId="39" applyFont="1" applyFill="1" applyBorder="1" applyAlignment="1" applyProtection="1">
      <alignment horizontal="left" vertical="center" wrapText="1"/>
    </xf>
    <xf numFmtId="0" fontId="74" fillId="0" borderId="27" xfId="39" applyFont="1" applyFill="1" applyBorder="1" applyAlignment="1" applyProtection="1">
      <alignment horizontal="left" vertical="center" wrapText="1"/>
    </xf>
    <xf numFmtId="0" fontId="74" fillId="0" borderId="31" xfId="39" applyFont="1" applyFill="1" applyBorder="1" applyAlignment="1" applyProtection="1">
      <alignment horizontal="left" vertical="center" wrapText="1"/>
    </xf>
    <xf numFmtId="0" fontId="74" fillId="0" borderId="28" xfId="39" applyFont="1" applyFill="1" applyBorder="1" applyAlignment="1" applyProtection="1">
      <alignment horizontal="left" vertical="center" wrapText="1"/>
    </xf>
    <xf numFmtId="0" fontId="74" fillId="0" borderId="32" xfId="39" applyFont="1" applyFill="1" applyBorder="1" applyAlignment="1" applyProtection="1">
      <alignment horizontal="left" vertical="center" wrapText="1"/>
    </xf>
    <xf numFmtId="0" fontId="74" fillId="0" borderId="28" xfId="39" applyFont="1" applyBorder="1" applyAlignment="1" applyProtection="1">
      <alignment horizontal="left" vertical="center" wrapText="1"/>
    </xf>
    <xf numFmtId="0" fontId="74" fillId="0" borderId="32" xfId="39" applyFont="1" applyBorder="1" applyAlignment="1" applyProtection="1">
      <alignment horizontal="left" vertical="center" wrapText="1"/>
    </xf>
    <xf numFmtId="0" fontId="20" fillId="0" borderId="26" xfId="0" applyFont="1" applyBorder="1" applyAlignment="1" applyProtection="1">
      <alignment horizontal="left" vertical="center" wrapText="1"/>
    </xf>
    <xf numFmtId="0" fontId="20" fillId="0" borderId="30" xfId="0" applyFont="1" applyBorder="1" applyAlignment="1" applyProtection="1">
      <alignment horizontal="left" vertical="center" wrapText="1"/>
    </xf>
    <xf numFmtId="0" fontId="20" fillId="0" borderId="27" xfId="0" applyFont="1" applyBorder="1" applyAlignment="1" applyProtection="1">
      <alignment horizontal="left" vertical="center" wrapText="1"/>
    </xf>
    <xf numFmtId="0" fontId="20" fillId="0" borderId="31" xfId="0" applyFont="1" applyBorder="1" applyAlignment="1" applyProtection="1">
      <alignment horizontal="left" vertical="center" wrapText="1"/>
    </xf>
    <xf numFmtId="0" fontId="20" fillId="0" borderId="28" xfId="0" applyFont="1" applyBorder="1" applyAlignment="1" applyProtection="1">
      <alignment horizontal="left" vertical="center" wrapText="1"/>
    </xf>
    <xf numFmtId="0" fontId="20" fillId="0" borderId="32" xfId="0" applyFont="1" applyBorder="1" applyAlignment="1" applyProtection="1">
      <alignment horizontal="left" vertical="center" wrapText="1"/>
    </xf>
    <xf numFmtId="0" fontId="16" fillId="0" borderId="26" xfId="0" applyFont="1" applyBorder="1" applyAlignment="1" applyProtection="1">
      <alignment horizontal="left" vertical="center" wrapText="1"/>
    </xf>
    <xf numFmtId="0" fontId="16" fillId="0" borderId="30" xfId="0" applyFont="1" applyBorder="1" applyAlignment="1" applyProtection="1">
      <alignment horizontal="left" vertical="center" wrapText="1"/>
    </xf>
    <xf numFmtId="0" fontId="16" fillId="0" borderId="27" xfId="0" applyFont="1" applyBorder="1" applyAlignment="1" applyProtection="1">
      <alignment horizontal="left" vertical="center" wrapText="1"/>
    </xf>
    <xf numFmtId="0" fontId="16" fillId="0" borderId="31" xfId="0" applyFont="1" applyBorder="1" applyAlignment="1" applyProtection="1">
      <alignment horizontal="left" vertical="center" wrapText="1"/>
    </xf>
    <xf numFmtId="0" fontId="16" fillId="0" borderId="28" xfId="0" applyFont="1" applyBorder="1" applyAlignment="1" applyProtection="1">
      <alignment horizontal="left" vertical="center" wrapText="1"/>
    </xf>
    <xf numFmtId="0" fontId="16" fillId="0" borderId="32" xfId="0" applyFont="1" applyBorder="1" applyAlignment="1" applyProtection="1">
      <alignment horizontal="left" vertical="center" wrapText="1"/>
    </xf>
    <xf numFmtId="0" fontId="9" fillId="0" borderId="7" xfId="0" applyFont="1" applyBorder="1" applyAlignment="1" applyProtection="1">
      <alignment horizontal="right" vertical="center"/>
    </xf>
    <xf numFmtId="0" fontId="74" fillId="0" borderId="36" xfId="39" applyFont="1" applyBorder="1" applyAlignment="1" applyProtection="1">
      <alignment horizontal="left" vertical="center" wrapText="1"/>
    </xf>
    <xf numFmtId="0" fontId="74" fillId="0" borderId="37" xfId="39" applyFont="1" applyBorder="1" applyAlignment="1" applyProtection="1">
      <alignment horizontal="left" vertical="center" wrapText="1"/>
    </xf>
    <xf numFmtId="0" fontId="16" fillId="0" borderId="20" xfId="0" applyFont="1" applyBorder="1" applyAlignment="1" applyProtection="1">
      <alignment vertical="center" wrapText="1"/>
    </xf>
    <xf numFmtId="0" fontId="16" fillId="0" borderId="21" xfId="0" applyFont="1" applyBorder="1" applyAlignment="1" applyProtection="1">
      <alignment vertical="center" wrapText="1"/>
    </xf>
    <xf numFmtId="0" fontId="16" fillId="0" borderId="22" xfId="0" applyFont="1" applyBorder="1" applyAlignment="1" applyProtection="1">
      <alignment vertical="center" wrapText="1"/>
    </xf>
    <xf numFmtId="9" fontId="20" fillId="5" borderId="14" xfId="0" applyNumberFormat="1" applyFont="1" applyFill="1" applyBorder="1" applyAlignment="1" applyProtection="1">
      <alignment horizontal="center" vertical="center"/>
      <protection locked="0"/>
    </xf>
    <xf numFmtId="9" fontId="20" fillId="5" borderId="16" xfId="0" applyNumberFormat="1" applyFont="1" applyFill="1" applyBorder="1" applyAlignment="1" applyProtection="1">
      <alignment horizontal="center" vertical="center"/>
      <protection locked="0"/>
    </xf>
    <xf numFmtId="9" fontId="20" fillId="5" borderId="15" xfId="0" applyNumberFormat="1" applyFont="1" applyFill="1" applyBorder="1" applyAlignment="1" applyProtection="1">
      <alignment horizontal="center" vertical="center"/>
      <protection locked="0"/>
    </xf>
    <xf numFmtId="0" fontId="16" fillId="0" borderId="13" xfId="0" applyFont="1" applyFill="1" applyBorder="1" applyAlignment="1" applyProtection="1">
      <alignment horizontal="left" vertical="center" wrapText="1"/>
    </xf>
    <xf numFmtId="0" fontId="16" fillId="0" borderId="36" xfId="0" applyFont="1" applyBorder="1" applyAlignment="1" applyProtection="1">
      <alignment horizontal="left" vertical="center" wrapText="1"/>
    </xf>
    <xf numFmtId="0" fontId="16" fillId="0" borderId="37" xfId="0" applyFont="1" applyBorder="1" applyAlignment="1" applyProtection="1">
      <alignment horizontal="left" vertical="center" wrapText="1"/>
    </xf>
    <xf numFmtId="0" fontId="16" fillId="0" borderId="38" xfId="0" applyFont="1" applyBorder="1" applyAlignment="1" applyProtection="1">
      <alignment horizontal="left" vertical="center" wrapText="1"/>
    </xf>
    <xf numFmtId="9" fontId="20" fillId="5" borderId="14" xfId="2" applyFont="1" applyFill="1" applyBorder="1" applyAlignment="1" applyProtection="1">
      <alignment horizontal="center" vertical="center"/>
      <protection locked="0"/>
    </xf>
    <xf numFmtId="9" fontId="20" fillId="5" borderId="16" xfId="2" applyFont="1" applyFill="1" applyBorder="1" applyAlignment="1" applyProtection="1">
      <alignment horizontal="center" vertical="center"/>
      <protection locked="0"/>
    </xf>
    <xf numFmtId="9" fontId="20" fillId="5" borderId="15" xfId="2" applyFont="1" applyFill="1" applyBorder="1" applyAlignment="1" applyProtection="1">
      <alignment horizontal="center" vertical="center"/>
      <protection locked="0"/>
    </xf>
    <xf numFmtId="0" fontId="16" fillId="0" borderId="11"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74" fillId="0" borderId="26" xfId="39" applyFont="1" applyBorder="1" applyAlignment="1" applyProtection="1">
      <alignment vertical="center" wrapText="1"/>
    </xf>
    <xf numFmtId="0" fontId="74" fillId="0" borderId="30" xfId="39" applyFont="1" applyBorder="1" applyAlignment="1" applyProtection="1">
      <alignment vertical="center" wrapText="1"/>
    </xf>
    <xf numFmtId="0" fontId="74" fillId="0" borderId="28" xfId="39" applyFont="1" applyBorder="1" applyAlignment="1" applyProtection="1">
      <alignment vertical="center" wrapText="1"/>
    </xf>
    <xf numFmtId="0" fontId="74" fillId="0" borderId="32" xfId="39" applyFont="1" applyBorder="1" applyAlignment="1" applyProtection="1">
      <alignment vertical="center" wrapText="1"/>
    </xf>
    <xf numFmtId="0" fontId="16" fillId="0" borderId="0" xfId="0" applyFont="1" applyFill="1" applyBorder="1" applyAlignment="1" applyProtection="1">
      <alignment horizontal="left" vertical="center" wrapText="1"/>
      <protection locked="0"/>
    </xf>
    <xf numFmtId="0" fontId="74" fillId="0" borderId="38" xfId="39" applyFont="1" applyBorder="1" applyAlignment="1" applyProtection="1">
      <alignment horizontal="left" vertical="center" wrapText="1"/>
    </xf>
    <xf numFmtId="0" fontId="34" fillId="4" borderId="24" xfId="23" applyFont="1" applyFill="1" applyBorder="1" applyAlignment="1" applyProtection="1">
      <alignment horizontal="left" vertical="center" wrapText="1"/>
    </xf>
    <xf numFmtId="0" fontId="34" fillId="4" borderId="13" xfId="23" applyFont="1" applyFill="1" applyBorder="1" applyAlignment="1" applyProtection="1">
      <alignment horizontal="left" vertical="center" wrapText="1"/>
    </xf>
    <xf numFmtId="0" fontId="34" fillId="4" borderId="36" xfId="23" applyFont="1" applyFill="1" applyBorder="1" applyAlignment="1" applyProtection="1">
      <alignment horizontal="left" vertical="center" wrapText="1"/>
    </xf>
    <xf numFmtId="0" fontId="34" fillId="4" borderId="37" xfId="23" applyFont="1" applyFill="1" applyBorder="1" applyAlignment="1" applyProtection="1">
      <alignment horizontal="left" vertical="center" wrapText="1"/>
    </xf>
    <xf numFmtId="0" fontId="34" fillId="4" borderId="38" xfId="23" applyFont="1" applyFill="1" applyBorder="1" applyAlignment="1" applyProtection="1">
      <alignment horizontal="left" vertical="center" wrapText="1"/>
    </xf>
    <xf numFmtId="0" fontId="34" fillId="4" borderId="20" xfId="23" applyFont="1" applyFill="1" applyBorder="1" applyAlignment="1" applyProtection="1">
      <alignment horizontal="left" vertical="center" wrapText="1"/>
    </xf>
    <xf numFmtId="0" fontId="34" fillId="4" borderId="21" xfId="23" applyFont="1" applyFill="1" applyBorder="1" applyAlignment="1" applyProtection="1">
      <alignment horizontal="left" vertical="center" wrapText="1"/>
    </xf>
    <xf numFmtId="0" fontId="34" fillId="4" borderId="22" xfId="23" applyFont="1" applyFill="1" applyBorder="1" applyAlignment="1" applyProtection="1">
      <alignment horizontal="left" vertical="center" wrapText="1"/>
    </xf>
    <xf numFmtId="167" fontId="20" fillId="4" borderId="14" xfId="1" applyNumberFormat="1" applyFont="1" applyFill="1" applyBorder="1" applyAlignment="1" applyProtection="1">
      <alignment horizontal="center" vertical="center"/>
    </xf>
    <xf numFmtId="167" fontId="20" fillId="4" borderId="16" xfId="1" applyNumberFormat="1" applyFont="1" applyFill="1" applyBorder="1" applyAlignment="1" applyProtection="1">
      <alignment horizontal="center" vertical="center"/>
    </xf>
    <xf numFmtId="167" fontId="20" fillId="4" borderId="15" xfId="1" applyNumberFormat="1" applyFont="1" applyFill="1" applyBorder="1" applyAlignment="1" applyProtection="1">
      <alignment horizontal="center" vertical="center"/>
    </xf>
    <xf numFmtId="0" fontId="34" fillId="4" borderId="12" xfId="23" applyFont="1" applyFill="1" applyBorder="1" applyAlignment="1" applyProtection="1">
      <alignment horizontal="left" vertical="center" wrapText="1"/>
    </xf>
    <xf numFmtId="0" fontId="20" fillId="0" borderId="36" xfId="0" applyFont="1" applyFill="1" applyBorder="1" applyAlignment="1" applyProtection="1">
      <alignment horizontal="left" vertical="center" wrapText="1"/>
    </xf>
    <xf numFmtId="0" fontId="20" fillId="0" borderId="37" xfId="0" applyFont="1" applyFill="1" applyBorder="1" applyAlignment="1" applyProtection="1">
      <alignment horizontal="left" vertical="center" wrapText="1"/>
    </xf>
    <xf numFmtId="0" fontId="20" fillId="0" borderId="38" xfId="0" applyFont="1" applyFill="1" applyBorder="1" applyAlignment="1" applyProtection="1">
      <alignment horizontal="left" vertical="center" wrapText="1"/>
    </xf>
    <xf numFmtId="167" fontId="20" fillId="5" borderId="28" xfId="1" applyNumberFormat="1" applyFont="1" applyFill="1" applyBorder="1" applyAlignment="1" applyProtection="1">
      <alignment horizontal="center" vertical="center"/>
      <protection locked="0"/>
    </xf>
    <xf numFmtId="0" fontId="74" fillId="0" borderId="57" xfId="39" applyFont="1" applyBorder="1" applyAlignment="1" applyProtection="1">
      <alignment horizontal="left" vertical="center" wrapText="1"/>
    </xf>
    <xf numFmtId="167" fontId="20" fillId="5" borderId="39" xfId="1" applyNumberFormat="1" applyFont="1" applyFill="1" applyBorder="1" applyAlignment="1" applyProtection="1">
      <alignment horizontal="center" vertical="center"/>
      <protection locked="0"/>
    </xf>
    <xf numFmtId="167" fontId="20" fillId="5" borderId="5" xfId="1" applyNumberFormat="1" applyFont="1" applyFill="1" applyBorder="1" applyAlignment="1" applyProtection="1">
      <alignment horizontal="center" vertical="center"/>
      <protection locked="0"/>
    </xf>
    <xf numFmtId="167" fontId="20" fillId="5" borderId="8" xfId="1" applyNumberFormat="1" applyFont="1" applyFill="1" applyBorder="1" applyAlignment="1" applyProtection="1">
      <alignment horizontal="center" vertical="center"/>
      <protection locked="0"/>
    </xf>
    <xf numFmtId="0" fontId="74" fillId="0" borderId="46" xfId="39" applyFont="1" applyBorder="1" applyAlignment="1" applyProtection="1">
      <alignment horizontal="left" vertical="center" wrapText="1"/>
    </xf>
    <xf numFmtId="0" fontId="74" fillId="0" borderId="0" xfId="39" applyFont="1" applyBorder="1" applyAlignment="1" applyProtection="1">
      <alignment horizontal="left" vertical="center" wrapText="1"/>
    </xf>
    <xf numFmtId="0" fontId="74" fillId="0" borderId="7" xfId="39" applyFont="1" applyBorder="1" applyAlignment="1" applyProtection="1">
      <alignment horizontal="left" vertical="center" wrapText="1"/>
    </xf>
    <xf numFmtId="0" fontId="74" fillId="0" borderId="0" xfId="39" applyFont="1" applyFill="1" applyAlignment="1" applyProtection="1">
      <alignment vertical="center" wrapText="1"/>
    </xf>
    <xf numFmtId="0" fontId="16" fillId="0" borderId="20" xfId="0" applyFont="1" applyBorder="1" applyAlignment="1" applyProtection="1">
      <alignment horizontal="left" vertical="center" wrapText="1"/>
    </xf>
    <xf numFmtId="0" fontId="16" fillId="0" borderId="21" xfId="0" applyFont="1" applyBorder="1" applyAlignment="1" applyProtection="1">
      <alignment horizontal="left" vertical="center" wrapText="1"/>
    </xf>
    <xf numFmtId="0" fontId="16" fillId="0" borderId="22" xfId="0" applyFont="1" applyBorder="1" applyAlignment="1" applyProtection="1">
      <alignment horizontal="left" vertical="center" wrapText="1"/>
    </xf>
    <xf numFmtId="0" fontId="16" fillId="0" borderId="36" xfId="0" applyFont="1" applyFill="1" applyBorder="1" applyAlignment="1" applyProtection="1">
      <alignment horizontal="left" vertical="center" wrapText="1"/>
    </xf>
    <xf numFmtId="0" fontId="16" fillId="0" borderId="37" xfId="0" applyFont="1" applyFill="1" applyBorder="1" applyAlignment="1" applyProtection="1">
      <alignment horizontal="left" vertical="center" wrapText="1"/>
    </xf>
    <xf numFmtId="0" fontId="16" fillId="0" borderId="38" xfId="0" applyFont="1" applyFill="1" applyBorder="1" applyAlignment="1" applyProtection="1">
      <alignment horizontal="left" vertical="center" wrapText="1"/>
    </xf>
    <xf numFmtId="3" fontId="16" fillId="0" borderId="0" xfId="0" applyNumberFormat="1" applyFont="1" applyAlignment="1" applyProtection="1">
      <alignment horizontal="right"/>
    </xf>
    <xf numFmtId="2" fontId="16" fillId="0" borderId="45" xfId="0" applyNumberFormat="1" applyFont="1" applyBorder="1" applyAlignment="1" applyProtection="1">
      <alignment horizontal="right"/>
    </xf>
    <xf numFmtId="0" fontId="19" fillId="9" borderId="26" xfId="0" applyFont="1" applyFill="1" applyBorder="1" applyAlignment="1" applyProtection="1">
      <alignment horizontal="center" vertical="center"/>
    </xf>
    <xf numFmtId="0" fontId="19" fillId="9" borderId="46" xfId="0" applyFont="1" applyFill="1" applyBorder="1" applyAlignment="1" applyProtection="1">
      <alignment horizontal="center" vertical="center"/>
    </xf>
    <xf numFmtId="0" fontId="19" fillId="9" borderId="30" xfId="0" applyFont="1" applyFill="1" applyBorder="1" applyAlignment="1" applyProtection="1">
      <alignment horizontal="center" vertical="center"/>
    </xf>
    <xf numFmtId="0" fontId="19" fillId="9" borderId="27" xfId="0" applyFont="1" applyFill="1" applyBorder="1" applyAlignment="1" applyProtection="1">
      <alignment horizontal="center" vertical="center"/>
    </xf>
    <xf numFmtId="0" fontId="19" fillId="9" borderId="0" xfId="0" applyFont="1" applyFill="1" applyBorder="1" applyAlignment="1" applyProtection="1">
      <alignment horizontal="center" vertical="center"/>
    </xf>
    <xf numFmtId="0" fontId="19" fillId="9" borderId="31" xfId="0" applyFont="1" applyFill="1" applyBorder="1" applyAlignment="1" applyProtection="1">
      <alignment horizontal="center" vertical="center"/>
    </xf>
    <xf numFmtId="0" fontId="19" fillId="9" borderId="28" xfId="0" applyFont="1" applyFill="1" applyBorder="1" applyAlignment="1" applyProtection="1">
      <alignment horizontal="center" vertical="center"/>
    </xf>
    <xf numFmtId="0" fontId="19" fillId="9" borderId="45" xfId="0" applyFont="1" applyFill="1" applyBorder="1" applyAlignment="1" applyProtection="1">
      <alignment horizontal="center" vertical="center"/>
    </xf>
    <xf numFmtId="0" fontId="19" fillId="9" borderId="32" xfId="0" applyFont="1" applyFill="1" applyBorder="1" applyAlignment="1" applyProtection="1">
      <alignment horizontal="center" vertical="center"/>
    </xf>
    <xf numFmtId="2" fontId="43" fillId="0" borderId="0" xfId="0" applyNumberFormat="1" applyFont="1" applyAlignment="1" applyProtection="1">
      <alignment horizontal="right"/>
    </xf>
    <xf numFmtId="2" fontId="43" fillId="0" borderId="0" xfId="0" applyNumberFormat="1" applyFont="1" applyAlignment="1" applyProtection="1">
      <alignment horizontal="center"/>
    </xf>
    <xf numFmtId="4" fontId="43" fillId="0" borderId="0" xfId="0" applyNumberFormat="1" applyFont="1" applyAlignment="1" applyProtection="1">
      <alignment horizontal="right"/>
    </xf>
    <xf numFmtId="3" fontId="16" fillId="0" borderId="0" xfId="0" applyNumberFormat="1" applyFont="1" applyAlignment="1" applyProtection="1">
      <alignment horizontal="center"/>
    </xf>
    <xf numFmtId="0" fontId="16" fillId="0" borderId="0" xfId="0" applyFont="1" applyAlignment="1" applyProtection="1">
      <alignment horizontal="center"/>
    </xf>
    <xf numFmtId="0" fontId="16" fillId="0" borderId="0" xfId="0" applyFont="1" applyAlignment="1" applyProtection="1">
      <alignment horizontal="right"/>
    </xf>
    <xf numFmtId="0" fontId="16" fillId="0" borderId="27" xfId="0" applyFont="1" applyFill="1" applyBorder="1" applyAlignment="1" applyProtection="1">
      <alignment horizontal="left"/>
    </xf>
    <xf numFmtId="0" fontId="16" fillId="0" borderId="31" xfId="0" applyFont="1" applyFill="1" applyBorder="1" applyAlignment="1" applyProtection="1">
      <alignment horizontal="left"/>
    </xf>
    <xf numFmtId="3" fontId="19" fillId="9" borderId="11" xfId="0" applyNumberFormat="1" applyFont="1" applyFill="1" applyBorder="1" applyAlignment="1" applyProtection="1">
      <alignment horizontal="center" vertical="center"/>
    </xf>
    <xf numFmtId="3" fontId="19" fillId="9" borderId="12" xfId="0" applyNumberFormat="1" applyFont="1" applyFill="1" applyBorder="1" applyAlignment="1" applyProtection="1">
      <alignment horizontal="center" vertical="center"/>
    </xf>
    <xf numFmtId="3" fontId="19" fillId="9" borderId="13" xfId="0" applyNumberFormat="1" applyFont="1" applyFill="1" applyBorder="1" applyAlignment="1" applyProtection="1">
      <alignment horizontal="center" vertical="center"/>
    </xf>
    <xf numFmtId="0" fontId="16" fillId="0" borderId="0" xfId="0" applyFont="1" applyAlignment="1">
      <alignment horizontal="center"/>
    </xf>
    <xf numFmtId="3" fontId="16" fillId="0" borderId="0" xfId="0" applyNumberFormat="1" applyFont="1" applyAlignment="1" applyProtection="1">
      <alignment horizontal="left"/>
    </xf>
    <xf numFmtId="4" fontId="43" fillId="0" borderId="0" xfId="0" applyNumberFormat="1" applyFont="1" applyAlignment="1" applyProtection="1">
      <alignment horizontal="center"/>
    </xf>
    <xf numFmtId="0" fontId="19" fillId="9" borderId="26" xfId="0" applyFont="1" applyFill="1" applyBorder="1" applyAlignment="1" applyProtection="1">
      <alignment horizontal="center" vertical="center" wrapText="1"/>
    </xf>
    <xf numFmtId="0" fontId="19" fillId="9" borderId="46" xfId="0" applyFont="1" applyFill="1" applyBorder="1" applyAlignment="1" applyProtection="1">
      <alignment horizontal="center" vertical="center" wrapText="1"/>
    </xf>
    <xf numFmtId="0" fontId="19" fillId="9" borderId="30" xfId="0" applyFont="1" applyFill="1" applyBorder="1" applyAlignment="1" applyProtection="1">
      <alignment horizontal="center" vertical="center" wrapText="1"/>
    </xf>
    <xf numFmtId="0" fontId="19" fillId="9" borderId="27"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19" fillId="9" borderId="31" xfId="0" applyFont="1" applyFill="1" applyBorder="1" applyAlignment="1" applyProtection="1">
      <alignment horizontal="center" vertical="center" wrapText="1"/>
    </xf>
    <xf numFmtId="0" fontId="16" fillId="0" borderId="0" xfId="0" applyFont="1" applyAlignment="1" applyProtection="1">
      <alignment horizontal="left"/>
    </xf>
    <xf numFmtId="0" fontId="19" fillId="6" borderId="26" xfId="0" applyFont="1" applyFill="1" applyBorder="1" applyAlignment="1" applyProtection="1">
      <alignment horizontal="center" vertical="center"/>
    </xf>
    <xf numFmtId="0" fontId="19" fillId="6" borderId="46" xfId="0" applyFont="1" applyFill="1" applyBorder="1" applyAlignment="1" applyProtection="1">
      <alignment horizontal="center" vertical="center"/>
    </xf>
    <xf numFmtId="0" fontId="19" fillId="6" borderId="30" xfId="0" applyFont="1" applyFill="1" applyBorder="1" applyAlignment="1" applyProtection="1">
      <alignment horizontal="center" vertical="center"/>
    </xf>
    <xf numFmtId="0" fontId="19" fillId="6" borderId="27" xfId="0" applyFont="1" applyFill="1" applyBorder="1" applyAlignment="1" applyProtection="1">
      <alignment horizontal="center" vertical="center"/>
    </xf>
    <xf numFmtId="0" fontId="19" fillId="6" borderId="0" xfId="0" applyFont="1" applyFill="1" applyBorder="1" applyAlignment="1" applyProtection="1">
      <alignment horizontal="center" vertical="center"/>
    </xf>
    <xf numFmtId="0" fontId="19" fillId="6" borderId="31" xfId="0" applyFont="1" applyFill="1" applyBorder="1" applyAlignment="1" applyProtection="1">
      <alignment horizontal="center" vertical="center"/>
    </xf>
    <xf numFmtId="3" fontId="19" fillId="6" borderId="11" xfId="0" applyNumberFormat="1" applyFont="1" applyFill="1" applyBorder="1" applyAlignment="1" applyProtection="1">
      <alignment horizontal="center"/>
    </xf>
    <xf numFmtId="0" fontId="19" fillId="6" borderId="13" xfId="0" applyFont="1" applyFill="1" applyBorder="1" applyAlignment="1" applyProtection="1">
      <alignment horizontal="center"/>
    </xf>
    <xf numFmtId="0" fontId="19" fillId="6" borderId="26" xfId="0" applyFont="1" applyFill="1" applyBorder="1" applyAlignment="1" applyProtection="1">
      <alignment horizontal="center" vertical="center" wrapText="1"/>
    </xf>
    <xf numFmtId="0" fontId="19" fillId="6" borderId="46" xfId="0" applyFont="1" applyFill="1" applyBorder="1" applyAlignment="1" applyProtection="1">
      <alignment horizontal="center" vertical="center" wrapText="1"/>
    </xf>
    <xf numFmtId="0" fontId="19" fillId="6" borderId="30"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9" fillId="6" borderId="31" xfId="0" applyFont="1" applyFill="1" applyBorder="1" applyAlignment="1" applyProtection="1">
      <alignment horizontal="center" vertical="center" wrapText="1"/>
    </xf>
    <xf numFmtId="3" fontId="19" fillId="6" borderId="11" xfId="0" applyNumberFormat="1" applyFont="1" applyFill="1" applyBorder="1" applyAlignment="1" applyProtection="1">
      <alignment horizontal="center" vertical="center" wrapText="1"/>
    </xf>
    <xf numFmtId="0" fontId="19" fillId="6" borderId="12"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2" fontId="16" fillId="0" borderId="0" xfId="0" applyNumberFormat="1" applyFont="1" applyAlignment="1" applyProtection="1">
      <alignment horizontal="right"/>
    </xf>
    <xf numFmtId="0" fontId="14" fillId="0" borderId="0" xfId="39" applyAlignment="1" applyProtection="1">
      <alignment horizontal="left"/>
    </xf>
    <xf numFmtId="3" fontId="61" fillId="26" borderId="27" xfId="23" applyNumberFormat="1" applyFont="1" applyFill="1" applyBorder="1" applyAlignment="1" applyProtection="1">
      <alignment horizontal="left" vertical="top" wrapText="1"/>
    </xf>
    <xf numFmtId="3" fontId="61" fillId="26" borderId="0" xfId="23" applyNumberFormat="1" applyFont="1" applyFill="1" applyBorder="1" applyAlignment="1" applyProtection="1">
      <alignment horizontal="left" vertical="top" wrapText="1"/>
    </xf>
    <xf numFmtId="3" fontId="61" fillId="26" borderId="31" xfId="23" applyNumberFormat="1" applyFont="1" applyFill="1" applyBorder="1" applyAlignment="1" applyProtection="1">
      <alignment horizontal="left" vertical="top" wrapText="1"/>
    </xf>
    <xf numFmtId="3" fontId="59" fillId="26" borderId="27" xfId="23" applyNumberFormat="1" applyFont="1" applyFill="1" applyBorder="1" applyAlignment="1" applyProtection="1">
      <alignment horizontal="left" vertical="top" wrapText="1"/>
    </xf>
    <xf numFmtId="3" fontId="59" fillId="26" borderId="0" xfId="23" applyNumberFormat="1" applyFont="1" applyFill="1" applyBorder="1" applyAlignment="1" applyProtection="1">
      <alignment horizontal="left" vertical="top" wrapText="1"/>
    </xf>
    <xf numFmtId="3" fontId="59" fillId="26" borderId="31" xfId="23" applyNumberFormat="1" applyFont="1" applyFill="1" applyBorder="1" applyAlignment="1" applyProtection="1">
      <alignment horizontal="left" vertical="top" wrapText="1"/>
    </xf>
    <xf numFmtId="0" fontId="57" fillId="0" borderId="45" xfId="0" applyFont="1" applyBorder="1" applyAlignment="1" applyProtection="1">
      <alignment horizontal="center" wrapText="1"/>
    </xf>
    <xf numFmtId="3" fontId="56" fillId="26" borderId="26" xfId="23" applyNumberFormat="1" applyFont="1" applyFill="1" applyBorder="1" applyAlignment="1" applyProtection="1">
      <alignment horizontal="left" vertical="top" wrapText="1"/>
      <protection hidden="1"/>
    </xf>
    <xf numFmtId="3" fontId="56" fillId="26" borderId="46" xfId="23" applyNumberFormat="1" applyFont="1" applyFill="1" applyBorder="1" applyAlignment="1" applyProtection="1">
      <alignment horizontal="left" vertical="top" wrapText="1"/>
      <protection hidden="1"/>
    </xf>
    <xf numFmtId="3" fontId="56" fillId="26" borderId="30" xfId="23" applyNumberFormat="1" applyFont="1" applyFill="1" applyBorder="1" applyAlignment="1" applyProtection="1">
      <alignment horizontal="left" vertical="top" wrapText="1"/>
      <protection hidden="1"/>
    </xf>
    <xf numFmtId="3" fontId="56" fillId="26" borderId="27" xfId="23" applyNumberFormat="1" applyFont="1" applyFill="1" applyBorder="1" applyAlignment="1" applyProtection="1">
      <alignment horizontal="left" vertical="top" wrapText="1"/>
      <protection hidden="1"/>
    </xf>
    <xf numFmtId="3" fontId="56" fillId="26" borderId="0" xfId="23" applyNumberFormat="1" applyFont="1" applyFill="1" applyBorder="1" applyAlignment="1" applyProtection="1">
      <alignment horizontal="left" vertical="top" wrapText="1"/>
      <protection hidden="1"/>
    </xf>
    <xf numFmtId="3" fontId="56" fillId="26" borderId="31" xfId="23" applyNumberFormat="1" applyFont="1" applyFill="1" applyBorder="1" applyAlignment="1" applyProtection="1">
      <alignment horizontal="left" vertical="top" wrapText="1"/>
      <protection hidden="1"/>
    </xf>
    <xf numFmtId="3" fontId="56" fillId="26" borderId="28" xfId="23" applyNumberFormat="1" applyFont="1" applyFill="1" applyBorder="1" applyAlignment="1" applyProtection="1">
      <alignment horizontal="left" vertical="top" wrapText="1"/>
      <protection hidden="1"/>
    </xf>
    <xf numFmtId="3" fontId="56" fillId="26" borderId="45" xfId="23" applyNumberFormat="1" applyFont="1" applyFill="1" applyBorder="1" applyAlignment="1" applyProtection="1">
      <alignment horizontal="left" vertical="top" wrapText="1"/>
      <protection hidden="1"/>
    </xf>
    <xf numFmtId="3" fontId="56" fillId="26" borderId="32" xfId="23" applyNumberFormat="1" applyFont="1" applyFill="1" applyBorder="1" applyAlignment="1" applyProtection="1">
      <alignment horizontal="left" vertical="top" wrapText="1"/>
      <protection hidden="1"/>
    </xf>
    <xf numFmtId="0" fontId="57" fillId="0" borderId="45" xfId="0" applyFont="1" applyBorder="1" applyAlignment="1" applyProtection="1">
      <alignment horizontal="center" vertical="top" wrapText="1"/>
    </xf>
    <xf numFmtId="3" fontId="14" fillId="26" borderId="0" xfId="39" applyNumberFormat="1" applyFill="1" applyBorder="1" applyAlignment="1" applyProtection="1">
      <alignment horizontal="left" vertical="top" wrapText="1"/>
    </xf>
    <xf numFmtId="3" fontId="14" fillId="26" borderId="31" xfId="39" applyNumberFormat="1" applyFill="1" applyBorder="1" applyAlignment="1" applyProtection="1">
      <alignment horizontal="left" vertical="top" wrapText="1"/>
    </xf>
    <xf numFmtId="3" fontId="60" fillId="26" borderId="27" xfId="23" applyNumberFormat="1" applyFont="1" applyFill="1" applyBorder="1" applyAlignment="1" applyProtection="1">
      <alignment horizontal="left" vertical="top" wrapText="1"/>
    </xf>
    <xf numFmtId="3" fontId="60" fillId="26" borderId="0" xfId="23" applyNumberFormat="1" applyFont="1" applyFill="1" applyBorder="1" applyAlignment="1" applyProtection="1">
      <alignment horizontal="left" vertical="top" wrapText="1"/>
    </xf>
    <xf numFmtId="3" fontId="60" fillId="26" borderId="31" xfId="23" applyNumberFormat="1" applyFont="1" applyFill="1" applyBorder="1" applyAlignment="1" applyProtection="1">
      <alignment horizontal="left" vertical="top" wrapText="1"/>
    </xf>
    <xf numFmtId="3" fontId="19" fillId="6" borderId="12" xfId="0" applyNumberFormat="1" applyFont="1" applyFill="1" applyBorder="1" applyAlignment="1" applyProtection="1">
      <alignment horizontal="center"/>
    </xf>
    <xf numFmtId="3" fontId="19" fillId="6" borderId="13" xfId="0" applyNumberFormat="1" applyFont="1" applyFill="1" applyBorder="1" applyAlignment="1" applyProtection="1">
      <alignment horizontal="center"/>
    </xf>
    <xf numFmtId="0" fontId="44" fillId="5" borderId="11" xfId="0" applyFont="1" applyFill="1" applyBorder="1" applyAlignment="1" applyProtection="1">
      <alignment horizontal="center"/>
    </xf>
    <xf numFmtId="0" fontId="44" fillId="5" borderId="12" xfId="0" applyFont="1" applyFill="1" applyBorder="1" applyAlignment="1" applyProtection="1">
      <alignment horizontal="center"/>
    </xf>
    <xf numFmtId="0" fontId="44" fillId="5" borderId="13" xfId="0" applyFont="1" applyFill="1" applyBorder="1" applyAlignment="1" applyProtection="1">
      <alignment horizontal="center"/>
    </xf>
    <xf numFmtId="0" fontId="16" fillId="0" borderId="0" xfId="0" applyFont="1" applyFill="1" applyBorder="1" applyAlignment="1" applyProtection="1">
      <alignment horizontal="left" wrapText="1"/>
    </xf>
    <xf numFmtId="0" fontId="16" fillId="0" borderId="31" xfId="0" applyFont="1" applyFill="1" applyBorder="1" applyAlignment="1" applyProtection="1">
      <alignment horizontal="left" wrapText="1"/>
    </xf>
    <xf numFmtId="0" fontId="16" fillId="46" borderId="20" xfId="0" applyFont="1" applyFill="1" applyBorder="1" applyAlignment="1">
      <alignment horizontal="left" vertical="center"/>
    </xf>
    <xf numFmtId="0" fontId="16" fillId="46" borderId="21" xfId="0" applyFont="1" applyFill="1" applyBorder="1" applyAlignment="1">
      <alignment horizontal="left" vertical="center"/>
    </xf>
    <xf numFmtId="0" fontId="16" fillId="46" borderId="22" xfId="0" applyFont="1" applyFill="1" applyBorder="1" applyAlignment="1">
      <alignment horizontal="left" vertical="center"/>
    </xf>
    <xf numFmtId="3" fontId="59" fillId="26" borderId="28" xfId="23" applyNumberFormat="1" applyFont="1" applyFill="1" applyBorder="1" applyAlignment="1" applyProtection="1">
      <alignment horizontal="left" vertical="top" wrapText="1"/>
    </xf>
    <xf numFmtId="3" fontId="59" fillId="26" borderId="45" xfId="23" applyNumberFormat="1" applyFont="1" applyFill="1" applyBorder="1" applyAlignment="1" applyProtection="1">
      <alignment horizontal="left" vertical="top" wrapText="1"/>
    </xf>
    <xf numFmtId="3" fontId="59" fillId="26" borderId="32" xfId="23" applyNumberFormat="1" applyFont="1" applyFill="1" applyBorder="1" applyAlignment="1" applyProtection="1">
      <alignment horizontal="left" vertical="top" wrapText="1"/>
    </xf>
    <xf numFmtId="3" fontId="59" fillId="26" borderId="26" xfId="23" applyNumberFormat="1" applyFont="1" applyFill="1" applyBorder="1" applyAlignment="1" applyProtection="1">
      <alignment horizontal="left" vertical="top" wrapText="1"/>
    </xf>
    <xf numFmtId="3" fontId="59" fillId="26" borderId="46" xfId="23" applyNumberFormat="1" applyFont="1" applyFill="1" applyBorder="1" applyAlignment="1" applyProtection="1">
      <alignment horizontal="left" vertical="top" wrapText="1"/>
    </xf>
    <xf numFmtId="3" fontId="59" fillId="26" borderId="30" xfId="23" applyNumberFormat="1" applyFont="1" applyFill="1" applyBorder="1" applyAlignment="1" applyProtection="1">
      <alignment horizontal="left" vertical="top" wrapText="1"/>
    </xf>
    <xf numFmtId="0" fontId="52" fillId="0" borderId="0" xfId="34" applyFont="1" applyFill="1" applyAlignment="1" applyProtection="1">
      <alignment vertical="center" wrapText="1"/>
      <protection hidden="1"/>
    </xf>
    <xf numFmtId="0" fontId="52" fillId="0" borderId="0" xfId="34" applyFont="1" applyFill="1" applyAlignment="1" applyProtection="1">
      <alignment vertical="center"/>
      <protection hidden="1"/>
    </xf>
    <xf numFmtId="0" fontId="9" fillId="0" borderId="7" xfId="0" applyFont="1" applyBorder="1" applyAlignment="1" applyProtection="1">
      <alignment horizontal="center" vertical="center"/>
      <protection hidden="1"/>
    </xf>
    <xf numFmtId="3" fontId="51" fillId="29" borderId="0" xfId="33" applyNumberFormat="1" applyFont="1" applyFill="1" applyAlignment="1" applyProtection="1">
      <alignment horizontal="left" vertical="center" wrapText="1"/>
      <protection hidden="1"/>
    </xf>
    <xf numFmtId="0" fontId="42" fillId="36" borderId="0" xfId="0" applyFont="1" applyFill="1" applyAlignment="1" applyProtection="1">
      <alignment horizontal="left" vertical="center"/>
      <protection hidden="1"/>
    </xf>
    <xf numFmtId="3" fontId="51" fillId="36" borderId="0" xfId="32" applyNumberFormat="1" applyFont="1" applyFill="1" applyAlignment="1" applyProtection="1">
      <alignment horizontal="left" vertical="center" wrapText="1"/>
      <protection hidden="1"/>
    </xf>
    <xf numFmtId="3" fontId="52" fillId="5" borderId="0" xfId="33" applyNumberFormat="1" applyFont="1" applyFill="1" applyAlignment="1" applyProtection="1">
      <alignment horizontal="left" vertical="center" wrapText="1"/>
      <protection hidden="1"/>
    </xf>
    <xf numFmtId="3" fontId="51" fillId="39" borderId="0" xfId="33" applyNumberFormat="1" applyFont="1" applyFill="1" applyAlignment="1" applyProtection="1">
      <alignment horizontal="left" vertical="center" wrapText="1"/>
      <protection hidden="1"/>
    </xf>
    <xf numFmtId="3" fontId="51" fillId="38" borderId="0" xfId="33" applyNumberFormat="1" applyFont="1" applyFill="1" applyAlignment="1" applyProtection="1">
      <alignment horizontal="left" vertical="center" wrapText="1"/>
      <protection hidden="1"/>
    </xf>
    <xf numFmtId="3" fontId="80" fillId="37" borderId="0" xfId="34" applyNumberFormat="1" applyFont="1" applyFill="1" applyAlignment="1" applyProtection="1">
      <alignment horizontal="left" vertical="center" wrapText="1"/>
      <protection hidden="1"/>
    </xf>
    <xf numFmtId="3" fontId="53" fillId="37" borderId="0" xfId="13" applyNumberFormat="1" applyFont="1" applyFill="1" applyAlignment="1" applyProtection="1">
      <alignment horizontal="left" vertical="center" wrapText="1"/>
      <protection hidden="1"/>
    </xf>
    <xf numFmtId="0" fontId="53" fillId="37" borderId="0" xfId="0" applyFont="1" applyFill="1" applyAlignment="1" applyProtection="1">
      <alignment horizontal="left" vertical="center" wrapText="1"/>
      <protection hidden="1"/>
    </xf>
    <xf numFmtId="0" fontId="9" fillId="0" borderId="0" xfId="0" applyFont="1" applyAlignment="1">
      <alignment horizontal="left" wrapText="1"/>
    </xf>
    <xf numFmtId="0" fontId="0" fillId="0" borderId="0" xfId="0"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41" fillId="28" borderId="79" xfId="0" applyFont="1" applyFill="1" applyBorder="1" applyAlignment="1">
      <alignment horizontal="justify" vertical="center" wrapText="1"/>
    </xf>
    <xf numFmtId="0" fontId="41" fillId="28" borderId="60" xfId="0" applyFont="1" applyFill="1" applyBorder="1" applyAlignment="1">
      <alignment horizontal="justify" vertical="center" wrapText="1"/>
    </xf>
    <xf numFmtId="0" fontId="4" fillId="28" borderId="79" xfId="0" applyFont="1" applyFill="1" applyBorder="1" applyAlignment="1">
      <alignment horizontal="justify" vertical="center" wrapText="1"/>
    </xf>
    <xf numFmtId="0" fontId="4" fillId="28" borderId="60" xfId="0" applyFont="1" applyFill="1" applyBorder="1" applyAlignment="1">
      <alignment horizontal="justify" vertical="center" wrapText="1"/>
    </xf>
    <xf numFmtId="0" fontId="4" fillId="28" borderId="79" xfId="0" applyFont="1" applyFill="1" applyBorder="1" applyAlignment="1">
      <alignment horizontal="left" vertical="center" wrapText="1"/>
    </xf>
    <xf numFmtId="0" fontId="4" fillId="28" borderId="60" xfId="0" applyFont="1" applyFill="1" applyBorder="1" applyAlignment="1">
      <alignment horizontal="left" vertical="center" wrapText="1"/>
    </xf>
    <xf numFmtId="0" fontId="41" fillId="29" borderId="82" xfId="0" applyFont="1" applyFill="1" applyBorder="1" applyAlignment="1">
      <alignment horizontal="justify" vertical="center" wrapText="1"/>
    </xf>
    <xf numFmtId="0" fontId="41" fillId="29" borderId="62" xfId="0" applyFont="1" applyFill="1" applyBorder="1" applyAlignment="1">
      <alignment horizontal="justify" vertical="center" wrapText="1"/>
    </xf>
    <xf numFmtId="0" fontId="4" fillId="29" borderId="82" xfId="0" applyFont="1" applyFill="1" applyBorder="1" applyAlignment="1">
      <alignment horizontal="justify" vertical="center" wrapText="1"/>
    </xf>
    <xf numFmtId="0" fontId="4" fillId="29" borderId="62" xfId="0" applyFont="1" applyFill="1" applyBorder="1" applyAlignment="1">
      <alignment horizontal="justify" vertical="center" wrapText="1"/>
    </xf>
    <xf numFmtId="0" fontId="4" fillId="29" borderId="82" xfId="0" applyFont="1" applyFill="1" applyBorder="1" applyAlignment="1">
      <alignment horizontal="left" vertical="center" wrapText="1"/>
    </xf>
    <xf numFmtId="0" fontId="4" fillId="29" borderId="62" xfId="0" applyFont="1" applyFill="1" applyBorder="1" applyAlignment="1">
      <alignment horizontal="left" vertical="center" wrapText="1"/>
    </xf>
    <xf numFmtId="0" fontId="41" fillId="28" borderId="77" xfId="0" applyFont="1" applyFill="1" applyBorder="1" applyAlignment="1">
      <alignment horizontal="justify" vertical="center" wrapText="1"/>
    </xf>
    <xf numFmtId="0" fontId="4" fillId="28" borderId="77" xfId="0" applyFont="1" applyFill="1" applyBorder="1" applyAlignment="1">
      <alignment horizontal="justify" vertical="center" wrapText="1"/>
    </xf>
    <xf numFmtId="0" fontId="41" fillId="29" borderId="93" xfId="0" applyFont="1" applyFill="1" applyBorder="1" applyAlignment="1">
      <alignment horizontal="justify" vertical="center" wrapText="1"/>
    </xf>
    <xf numFmtId="0" fontId="41" fillId="29" borderId="80" xfId="0" applyFont="1" applyFill="1" applyBorder="1" applyAlignment="1">
      <alignment horizontal="justify" vertical="center" wrapText="1"/>
    </xf>
    <xf numFmtId="0" fontId="4" fillId="29" borderId="93" xfId="0" applyFont="1" applyFill="1" applyBorder="1" applyAlignment="1">
      <alignment horizontal="justify" vertical="center" wrapText="1"/>
    </xf>
    <xf numFmtId="0" fontId="4" fillId="29" borderId="80" xfId="0" applyFont="1" applyFill="1" applyBorder="1" applyAlignment="1">
      <alignment horizontal="justify" vertical="center" wrapText="1"/>
    </xf>
    <xf numFmtId="0" fontId="41" fillId="30" borderId="94" xfId="0" applyFont="1" applyFill="1" applyBorder="1" applyAlignment="1">
      <alignment horizontal="justify" vertical="center" wrapText="1"/>
    </xf>
    <xf numFmtId="0" fontId="41" fillId="30" borderId="85" xfId="0" applyFont="1" applyFill="1" applyBorder="1" applyAlignment="1">
      <alignment horizontal="justify" vertical="center" wrapText="1"/>
    </xf>
    <xf numFmtId="0" fontId="41" fillId="30" borderId="64" xfId="0" applyFont="1" applyFill="1" applyBorder="1" applyAlignment="1">
      <alignment horizontal="justify" vertical="center" wrapText="1"/>
    </xf>
    <xf numFmtId="0" fontId="4" fillId="30" borderId="94" xfId="0" applyFont="1" applyFill="1" applyBorder="1" applyAlignment="1">
      <alignment horizontal="justify" vertical="center" wrapText="1"/>
    </xf>
    <xf numFmtId="0" fontId="4" fillId="30" borderId="85" xfId="0" applyFont="1" applyFill="1" applyBorder="1" applyAlignment="1">
      <alignment horizontal="justify" vertical="center" wrapText="1"/>
    </xf>
    <xf numFmtId="0" fontId="4" fillId="30" borderId="64" xfId="0" applyFont="1" applyFill="1" applyBorder="1" applyAlignment="1">
      <alignment horizontal="justify" vertical="center" wrapText="1"/>
    </xf>
    <xf numFmtId="0" fontId="41" fillId="31" borderId="95" xfId="0" applyFont="1" applyFill="1" applyBorder="1" applyAlignment="1">
      <alignment horizontal="justify" vertical="center" wrapText="1"/>
    </xf>
    <xf numFmtId="0" fontId="41" fillId="31" borderId="87" xfId="0" applyFont="1" applyFill="1" applyBorder="1" applyAlignment="1">
      <alignment horizontal="justify" vertical="center" wrapText="1"/>
    </xf>
    <xf numFmtId="0" fontId="41" fillId="31" borderId="66" xfId="0" applyFont="1" applyFill="1" applyBorder="1" applyAlignment="1">
      <alignment horizontal="justify" vertical="center" wrapText="1"/>
    </xf>
    <xf numFmtId="0" fontId="4" fillId="31" borderId="95" xfId="0" applyFont="1" applyFill="1" applyBorder="1" applyAlignment="1">
      <alignment horizontal="justify" vertical="center" wrapText="1"/>
    </xf>
    <xf numFmtId="0" fontId="4" fillId="31" borderId="87" xfId="0" applyFont="1" applyFill="1" applyBorder="1" applyAlignment="1">
      <alignment horizontal="justify" vertical="center" wrapText="1"/>
    </xf>
    <xf numFmtId="0" fontId="4" fillId="31" borderId="66" xfId="0" applyFont="1" applyFill="1" applyBorder="1" applyAlignment="1">
      <alignment horizontal="justify" vertical="center" wrapText="1"/>
    </xf>
    <xf numFmtId="0" fontId="41" fillId="32" borderId="96" xfId="0" applyFont="1" applyFill="1" applyBorder="1" applyAlignment="1">
      <alignment horizontal="justify" vertical="center" wrapText="1"/>
    </xf>
    <xf numFmtId="0" fontId="41" fillId="32" borderId="89" xfId="0" applyFont="1" applyFill="1" applyBorder="1" applyAlignment="1">
      <alignment horizontal="justify" vertical="center" wrapText="1"/>
    </xf>
    <xf numFmtId="0" fontId="41" fillId="32" borderId="83" xfId="0" applyFont="1" applyFill="1" applyBorder="1" applyAlignment="1">
      <alignment horizontal="justify" vertical="center" wrapText="1"/>
    </xf>
    <xf numFmtId="0" fontId="4" fillId="32" borderId="96" xfId="0" applyFont="1" applyFill="1" applyBorder="1" applyAlignment="1">
      <alignment horizontal="justify" vertical="center" wrapText="1"/>
    </xf>
    <xf numFmtId="0" fontId="4" fillId="32" borderId="89" xfId="0" applyFont="1" applyFill="1" applyBorder="1" applyAlignment="1">
      <alignment horizontal="justify" vertical="center" wrapText="1"/>
    </xf>
    <xf numFmtId="0" fontId="4" fillId="32" borderId="83" xfId="0" applyFont="1" applyFill="1" applyBorder="1" applyAlignment="1">
      <alignment horizontal="justify" vertical="center" wrapText="1"/>
    </xf>
    <xf numFmtId="0" fontId="41" fillId="35" borderId="97" xfId="0" applyFont="1" applyFill="1" applyBorder="1" applyAlignment="1">
      <alignment horizontal="justify" vertical="center" wrapText="1"/>
    </xf>
    <xf numFmtId="0" fontId="41" fillId="35" borderId="91" xfId="0" applyFont="1" applyFill="1" applyBorder="1" applyAlignment="1">
      <alignment horizontal="justify" vertical="center" wrapText="1"/>
    </xf>
    <xf numFmtId="0" fontId="41" fillId="35" borderId="75" xfId="0" applyFont="1" applyFill="1" applyBorder="1" applyAlignment="1">
      <alignment horizontal="justify" vertical="center" wrapText="1"/>
    </xf>
    <xf numFmtId="0" fontId="4" fillId="35" borderId="97" xfId="0" applyFont="1" applyFill="1" applyBorder="1" applyAlignment="1">
      <alignment horizontal="justify" vertical="center" wrapText="1"/>
    </xf>
    <xf numFmtId="0" fontId="4" fillId="35" borderId="91" xfId="0" applyFont="1" applyFill="1" applyBorder="1" applyAlignment="1">
      <alignment horizontal="justify" vertical="center" wrapText="1"/>
    </xf>
    <xf numFmtId="0" fontId="4" fillId="35" borderId="75" xfId="0" applyFont="1" applyFill="1" applyBorder="1" applyAlignment="1">
      <alignment horizontal="justify" vertical="center" wrapText="1"/>
    </xf>
    <xf numFmtId="0" fontId="9" fillId="0" borderId="0" xfId="0" applyFont="1" applyAlignment="1">
      <alignment horizontal="justify" vertical="center" wrapText="1"/>
    </xf>
    <xf numFmtId="0" fontId="0" fillId="0" borderId="0" xfId="0" applyAlignment="1">
      <alignment wrapText="1"/>
    </xf>
    <xf numFmtId="0" fontId="0" fillId="0" borderId="45" xfId="0" applyBorder="1" applyAlignment="1">
      <alignment wrapText="1"/>
    </xf>
    <xf numFmtId="0" fontId="2" fillId="35" borderId="11" xfId="0" applyFont="1" applyFill="1" applyBorder="1" applyAlignment="1">
      <alignment horizontal="justify" vertical="center" wrapText="1"/>
    </xf>
    <xf numFmtId="0" fontId="0" fillId="0" borderId="12" xfId="0" applyBorder="1" applyAlignment="1">
      <alignment horizontal="justify" vertical="center" wrapText="1"/>
    </xf>
    <xf numFmtId="0" fontId="0" fillId="0" borderId="13" xfId="0" applyBorder="1" applyAlignment="1">
      <alignment horizontal="justify" vertical="center" wrapText="1"/>
    </xf>
    <xf numFmtId="0" fontId="3" fillId="35" borderId="11" xfId="0" applyFont="1" applyFill="1" applyBorder="1" applyAlignment="1">
      <alignment horizontal="justify" vertical="center" wrapText="1"/>
    </xf>
    <xf numFmtId="0" fontId="0" fillId="0" borderId="12" xfId="0" applyBorder="1" applyAlignment="1">
      <alignment wrapText="1"/>
    </xf>
    <xf numFmtId="0" fontId="0" fillId="0" borderId="13" xfId="0" applyBorder="1" applyAlignment="1">
      <alignment wrapText="1"/>
    </xf>
    <xf numFmtId="0" fontId="20" fillId="0" borderId="16" xfId="0" applyFont="1" applyBorder="1" applyAlignment="1" applyProtection="1">
      <alignment horizontal="left" vertical="center"/>
    </xf>
    <xf numFmtId="0" fontId="20" fillId="0" borderId="15" xfId="0" applyFont="1" applyBorder="1" applyAlignment="1" applyProtection="1">
      <alignment horizontal="left" vertical="center"/>
    </xf>
    <xf numFmtId="0" fontId="19" fillId="3" borderId="36" xfId="0" applyFont="1" applyFill="1" applyBorder="1" applyAlignment="1" applyProtection="1">
      <alignment horizontal="left" vertical="center"/>
    </xf>
    <xf numFmtId="0" fontId="19" fillId="3" borderId="37" xfId="0" applyFont="1" applyFill="1" applyBorder="1" applyAlignment="1" applyProtection="1">
      <alignment horizontal="left" vertical="center"/>
    </xf>
    <xf numFmtId="0" fontId="19" fillId="3" borderId="38" xfId="0" applyFont="1" applyFill="1" applyBorder="1" applyAlignment="1" applyProtection="1">
      <alignment horizontal="left" vertical="center"/>
    </xf>
    <xf numFmtId="4" fontId="16" fillId="0" borderId="16" xfId="0" applyNumberFormat="1" applyFont="1" applyBorder="1" applyAlignment="1" applyProtection="1">
      <alignment horizontal="left" vertical="center"/>
    </xf>
    <xf numFmtId="4" fontId="16" fillId="0" borderId="15" xfId="0" applyNumberFormat="1" applyFont="1" applyBorder="1" applyAlignment="1" applyProtection="1">
      <alignment horizontal="left" vertical="center"/>
    </xf>
    <xf numFmtId="2" fontId="16" fillId="0" borderId="16" xfId="0" applyNumberFormat="1" applyFont="1" applyFill="1" applyBorder="1" applyAlignment="1" applyProtection="1">
      <alignment horizontal="left" vertical="center"/>
    </xf>
    <xf numFmtId="2" fontId="16" fillId="0" borderId="15" xfId="0" applyNumberFormat="1" applyFont="1" applyFill="1" applyBorder="1" applyAlignment="1" applyProtection="1">
      <alignment horizontal="left" vertical="center"/>
    </xf>
    <xf numFmtId="0" fontId="16" fillId="0" borderId="16" xfId="0" applyFont="1" applyBorder="1" applyAlignment="1" applyProtection="1">
      <alignment horizontal="left" vertical="center"/>
    </xf>
    <xf numFmtId="0" fontId="16" fillId="0" borderId="15" xfId="0" applyFont="1" applyBorder="1" applyAlignment="1" applyProtection="1">
      <alignment horizontal="left" vertical="center"/>
    </xf>
    <xf numFmtId="2" fontId="16" fillId="0" borderId="16" xfId="0" applyNumberFormat="1" applyFont="1" applyBorder="1" applyAlignment="1" applyProtection="1">
      <alignment horizontal="left" vertical="center"/>
    </xf>
    <xf numFmtId="2" fontId="16" fillId="0" borderId="15" xfId="0" applyNumberFormat="1" applyFont="1" applyBorder="1" applyAlignment="1" applyProtection="1">
      <alignment horizontal="left" vertical="center"/>
    </xf>
    <xf numFmtId="0" fontId="19" fillId="5" borderId="17" xfId="0" applyFont="1" applyFill="1" applyBorder="1" applyAlignment="1" applyProtection="1">
      <alignment horizontal="center"/>
    </xf>
    <xf numFmtId="0" fontId="19" fillId="5" borderId="18" xfId="0" applyFont="1" applyFill="1" applyBorder="1" applyAlignment="1" applyProtection="1">
      <alignment horizontal="center"/>
    </xf>
    <xf numFmtId="0" fontId="19" fillId="5" borderId="19" xfId="0" applyFont="1" applyFill="1" applyBorder="1" applyAlignment="1" applyProtection="1">
      <alignment horizontal="center"/>
    </xf>
    <xf numFmtId="0" fontId="19" fillId="3" borderId="49" xfId="0" applyFont="1" applyFill="1" applyBorder="1" applyAlignment="1" applyProtection="1">
      <alignment horizontal="left" vertical="center"/>
    </xf>
    <xf numFmtId="0" fontId="19" fillId="3" borderId="4" xfId="0" applyFont="1" applyFill="1" applyBorder="1" applyAlignment="1" applyProtection="1">
      <alignment horizontal="left" vertical="center"/>
    </xf>
    <xf numFmtId="0" fontId="19" fillId="3" borderId="50" xfId="0" applyFont="1" applyFill="1" applyBorder="1" applyAlignment="1" applyProtection="1">
      <alignment horizontal="left" vertical="center"/>
    </xf>
    <xf numFmtId="2" fontId="16" fillId="0" borderId="5" xfId="0" applyNumberFormat="1" applyFont="1" applyFill="1" applyBorder="1" applyAlignment="1" applyProtection="1">
      <alignment horizontal="left" vertical="center"/>
    </xf>
    <xf numFmtId="2" fontId="16" fillId="0" borderId="25" xfId="0" applyNumberFormat="1" applyFont="1" applyFill="1" applyBorder="1" applyAlignment="1" applyProtection="1">
      <alignment horizontal="left" vertical="center"/>
    </xf>
    <xf numFmtId="0" fontId="19" fillId="7" borderId="24" xfId="0" applyFont="1" applyFill="1" applyBorder="1" applyAlignment="1" applyProtection="1">
      <alignment horizontal="center"/>
    </xf>
    <xf numFmtId="0" fontId="19" fillId="7" borderId="12" xfId="0" applyFont="1" applyFill="1" applyBorder="1" applyAlignment="1" applyProtection="1">
      <alignment horizontal="center"/>
    </xf>
    <xf numFmtId="0" fontId="19" fillId="7" borderId="23" xfId="0" applyFont="1" applyFill="1" applyBorder="1" applyAlignment="1" applyProtection="1">
      <alignment horizontal="center"/>
    </xf>
    <xf numFmtId="0" fontId="19" fillId="3" borderId="36" xfId="0" applyFont="1" applyFill="1" applyBorder="1" applyAlignment="1" applyProtection="1">
      <alignment horizontal="left" vertical="center" wrapText="1"/>
    </xf>
    <xf numFmtId="0" fontId="19" fillId="3" borderId="37" xfId="0" applyFont="1" applyFill="1" applyBorder="1" applyAlignment="1" applyProtection="1">
      <alignment horizontal="left" vertical="center" wrapText="1"/>
    </xf>
    <xf numFmtId="0" fontId="19" fillId="3" borderId="38" xfId="0" applyFont="1" applyFill="1" applyBorder="1" applyAlignment="1" applyProtection="1">
      <alignment horizontal="left" vertical="center" wrapText="1"/>
    </xf>
    <xf numFmtId="4" fontId="16" fillId="0" borderId="5" xfId="0" applyNumberFormat="1" applyFont="1" applyBorder="1" applyAlignment="1" applyProtection="1">
      <alignment horizontal="left" vertical="center"/>
    </xf>
    <xf numFmtId="4" fontId="16" fillId="0" borderId="25" xfId="0" applyNumberFormat="1" applyFont="1" applyBorder="1" applyAlignment="1" applyProtection="1">
      <alignment horizontal="left" vertical="center"/>
    </xf>
    <xf numFmtId="0" fontId="19" fillId="0" borderId="0" xfId="0" applyFont="1" applyBorder="1" applyAlignment="1" applyProtection="1">
      <alignment horizontal="center"/>
    </xf>
    <xf numFmtId="0" fontId="19" fillId="0" borderId="7" xfId="0" applyFont="1" applyBorder="1" applyAlignment="1" applyProtection="1">
      <alignment horizontal="center"/>
    </xf>
    <xf numFmtId="0" fontId="19" fillId="0" borderId="0" xfId="0" applyFont="1" applyBorder="1" applyAlignment="1" applyProtection="1">
      <alignment horizontal="center" vertical="center"/>
    </xf>
    <xf numFmtId="0" fontId="0" fillId="44" borderId="9" xfId="0" applyFill="1" applyBorder="1" applyAlignment="1">
      <alignment horizontal="left" vertical="center" wrapText="1"/>
    </xf>
    <xf numFmtId="0" fontId="87" fillId="45" borderId="11" xfId="0" applyFont="1" applyFill="1" applyBorder="1" applyAlignment="1">
      <alignment horizontal="center" wrapText="1"/>
    </xf>
    <xf numFmtId="0" fontId="87" fillId="45" borderId="12" xfId="0" applyFont="1" applyFill="1" applyBorder="1" applyAlignment="1">
      <alignment horizontal="center" wrapText="1"/>
    </xf>
    <xf numFmtId="0" fontId="87" fillId="45" borderId="13" xfId="0" applyFont="1" applyFill="1" applyBorder="1" applyAlignment="1">
      <alignment horizontal="center" wrapText="1"/>
    </xf>
  </cellXfs>
  <cellStyles count="42">
    <cellStyle name="20 % - Akzent2" xfId="28" builtinId="34"/>
    <cellStyle name="20 % - Akzent3" xfId="32" builtinId="38"/>
    <cellStyle name="20 % - Akzent5" xfId="33" builtinId="46"/>
    <cellStyle name="40 % - Akzent2" xfId="29" builtinId="35"/>
    <cellStyle name="40 % - Akzent5" xfId="34" builtinId="47"/>
    <cellStyle name="40 % - Akzent6" xfId="36" builtinId="51"/>
    <cellStyle name="60 % - Akzent2" xfId="30" builtinId="36"/>
    <cellStyle name="60 % - Akzent6" xfId="37" builtinId="52"/>
    <cellStyle name="Akzent2" xfId="27" builtinId="33"/>
    <cellStyle name="Akzent3" xfId="31" builtinId="37"/>
    <cellStyle name="Akzent6" xfId="35" builtinId="49"/>
    <cellStyle name="Bad 2" xfId="26" xr:uid="{00000000-0005-0000-0000-00000C000000}"/>
    <cellStyle name="Berechnung" xfId="38" builtinId="22"/>
    <cellStyle name="Besuchter Hyperlink" xfId="22" builtinId="9" hidden="1"/>
    <cellStyle name="Besuchter Hyperlink" xfId="20" builtinId="9" hidden="1"/>
    <cellStyle name="Besuchter Hyperlink" xfId="16" builtinId="9" hidden="1"/>
    <cellStyle name="Besuchter Hyperlink" xfId="18" builtinId="9" hidden="1"/>
    <cellStyle name="Besuchter Hyperlink" xfId="12" builtinId="9" hidden="1"/>
    <cellStyle name="Besuchter Hyperlink" xfId="4" builtinId="9" hidden="1"/>
    <cellStyle name="Besuchter Hyperlink" xfId="6" builtinId="9" hidden="1"/>
    <cellStyle name="Besuchter Hyperlink" xfId="8" builtinId="9" hidden="1"/>
    <cellStyle name="Besuchter Hyperlink" xfId="10" builtinId="9" hidden="1"/>
    <cellStyle name="Comma 2" xfId="13" xr:uid="{00000000-0005-0000-0000-00000F000000}"/>
    <cellStyle name="Erklärender Text" xfId="23" builtinId="53" customBuiltin="1"/>
    <cellStyle name="Komma" xfId="1" builtinId="3"/>
    <cellStyle name="Link" xfId="5" builtinId="8" hidden="1"/>
    <cellStyle name="Link" xfId="15" builtinId="8" hidden="1"/>
    <cellStyle name="Link" xfId="3" builtinId="8" hidden="1"/>
    <cellStyle name="Link" xfId="19" builtinId="8" hidden="1"/>
    <cellStyle name="Link" xfId="7" builtinId="8" hidden="1"/>
    <cellStyle name="Link" xfId="9" builtinId="8" hidden="1"/>
    <cellStyle name="Link" xfId="11" builtinId="8" hidden="1"/>
    <cellStyle name="Link" xfId="21" builtinId="8" hidden="1"/>
    <cellStyle name="Link" xfId="17" builtinId="8" hidden="1"/>
    <cellStyle name="Link" xfId="39" builtinId="8"/>
    <cellStyle name="Normal 2" xfId="25" xr:uid="{00000000-0005-0000-0000-000026000000}"/>
    <cellStyle name="Percent 2" xfId="14" xr:uid="{00000000-0005-0000-0000-000028000000}"/>
    <cellStyle name="Prozent" xfId="2" builtinId="5"/>
    <cellStyle name="Schlecht" xfId="40" builtinId="27"/>
    <cellStyle name="Standard" xfId="0" builtinId="0"/>
    <cellStyle name="Überschrift 4" xfId="24" builtinId="19"/>
    <cellStyle name="Warnender Text" xfId="41" builtinId="11"/>
  </cellStyles>
  <dxfs count="41">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numFmt numFmtId="0" formatCode="Genera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border outline="0">
        <top style="medium">
          <color auto="1"/>
        </top>
      </border>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border outline="0">
        <top style="medium">
          <color auto="1"/>
        </top>
      </border>
    </dxf>
    <dxf>
      <font>
        <b val="0"/>
        <i val="0"/>
        <strike val="0"/>
        <condense val="0"/>
        <extend val="0"/>
        <outline val="0"/>
        <shadow val="0"/>
        <u val="none"/>
        <vertAlign val="baseline"/>
        <sz val="10"/>
        <color theme="1"/>
        <name val="Calibri"/>
        <scheme val="minor"/>
      </font>
      <protection locked="1" hidden="0"/>
    </dxf>
    <dxf>
      <font>
        <b/>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numFmt numFmtId="0" formatCode="General"/>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b val="0"/>
        <i val="0"/>
        <strike val="0"/>
        <condense val="0"/>
        <extend val="0"/>
        <outline val="0"/>
        <shadow val="0"/>
        <u val="none"/>
        <vertAlign val="baseline"/>
        <sz val="10"/>
        <color theme="1"/>
        <name val="Calibri"/>
        <scheme val="minor"/>
      </font>
      <protection locked="1" hidden="0"/>
    </dxf>
    <dxf>
      <font>
        <strike val="0"/>
        <outline val="0"/>
        <shadow val="0"/>
        <u val="none"/>
        <vertAlign val="baseline"/>
        <sz val="10"/>
        <name val="Calibri"/>
        <scheme val="minor"/>
      </font>
      <protection locked="1" hidden="0"/>
    </dxf>
    <dxf>
      <font>
        <strike val="0"/>
        <outline val="0"/>
        <shadow val="0"/>
        <u val="none"/>
        <vertAlign val="baseline"/>
        <sz val="10"/>
        <name val="Calibri"/>
        <scheme val="minor"/>
      </font>
      <protection locked="1" hidden="0"/>
    </dxf>
    <dxf>
      <border outline="0">
        <right style="thin">
          <color theme="0"/>
        </right>
        <top style="medium">
          <color auto="1"/>
        </top>
      </border>
    </dxf>
    <dxf>
      <font>
        <strike val="0"/>
        <outline val="0"/>
        <shadow val="0"/>
        <u val="none"/>
        <vertAlign val="baseline"/>
        <sz val="10"/>
        <name val="Calibri"/>
        <scheme val="minor"/>
      </font>
      <protection locked="1" hidden="0"/>
    </dxf>
    <dxf>
      <font>
        <b/>
        <i val="0"/>
        <strike val="0"/>
        <condense val="0"/>
        <extend val="0"/>
        <outline val="0"/>
        <shadow val="0"/>
        <u val="none"/>
        <vertAlign val="baseline"/>
        <sz val="10"/>
        <color theme="0"/>
        <name val="Calibri"/>
        <scheme val="minor"/>
      </font>
      <fill>
        <patternFill patternType="solid">
          <fgColor theme="4"/>
          <bgColor theme="4"/>
        </patternFill>
      </fill>
      <protection locked="1" hidden="0"/>
    </dxf>
    <dxf>
      <fill>
        <patternFill>
          <bgColor theme="5" tint="0.7999816888943144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s>
  <tableStyles count="0" defaultTableStyle="TableStyleMedium9" defaultPivotStyle="PivotStyleMedium7"/>
  <colors>
    <mruColors>
      <color rgb="FFBF6663"/>
      <color rgb="FFD9BC66"/>
      <color rgb="FFE9BF60"/>
      <color rgb="FFF0D290"/>
      <color rgb="FFF8CECC"/>
      <color rgb="FFA0B8DB"/>
      <color rgb="FFFFE6CC"/>
      <color rgb="FFE34F4F"/>
      <color rgb="FFCDACFA"/>
      <color rgb="FFB481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32</xdr:row>
      <xdr:rowOff>9525</xdr:rowOff>
    </xdr:from>
    <xdr:to>
      <xdr:col>0</xdr:col>
      <xdr:colOff>2890520</xdr:colOff>
      <xdr:row>35</xdr:row>
      <xdr:rowOff>180974</xdr:rowOff>
    </xdr:to>
    <xdr:pic>
      <xdr:nvPicPr>
        <xdr:cNvPr id="7" name="Picture 6">
          <a:extLst>
            <a:ext uri="{FF2B5EF4-FFF2-40B4-BE49-F238E27FC236}">
              <a16:creationId xmlns:a16="http://schemas.microsoft.com/office/drawing/2014/main" id="{00000000-0008-0000-0000-000007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452"/>
        <a:stretch/>
      </xdr:blipFill>
      <xdr:spPr bwMode="auto">
        <a:xfrm>
          <a:off x="371475" y="14392275"/>
          <a:ext cx="251904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3333750</xdr:colOff>
      <xdr:row>31</xdr:row>
      <xdr:rowOff>171450</xdr:rowOff>
    </xdr:from>
    <xdr:to>
      <xdr:col>0</xdr:col>
      <xdr:colOff>5853430</xdr:colOff>
      <xdr:row>35</xdr:row>
      <xdr:rowOff>99694</xdr:rowOff>
    </xdr:to>
    <xdr:pic>
      <xdr:nvPicPr>
        <xdr:cNvPr id="8" name="Picture 7" descr="2000px-University_of_Leeds_Logo.svg.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0" y="14354175"/>
          <a:ext cx="2519680" cy="728345"/>
        </a:xfrm>
        <a:prstGeom prst="rect">
          <a:avLst/>
        </a:prstGeom>
      </xdr:spPr>
    </xdr:pic>
    <xdr:clientData/>
  </xdr:twoCellAnchor>
  <xdr:twoCellAnchor editAs="oneCell">
    <xdr:from>
      <xdr:col>0</xdr:col>
      <xdr:colOff>333375</xdr:colOff>
      <xdr:row>37</xdr:row>
      <xdr:rowOff>171450</xdr:rowOff>
    </xdr:from>
    <xdr:to>
      <xdr:col>0</xdr:col>
      <xdr:colOff>2853055</xdr:colOff>
      <xdr:row>41</xdr:row>
      <xdr:rowOff>11429</xdr:rowOff>
    </xdr:to>
    <xdr:pic>
      <xdr:nvPicPr>
        <xdr:cNvPr id="9" name="Bild 6" descr="Logo-Eawag.gif">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4944"/>
        <a:stretch/>
      </xdr:blipFill>
      <xdr:spPr>
        <a:xfrm>
          <a:off x="333375" y="15554325"/>
          <a:ext cx="2519680" cy="640080"/>
        </a:xfrm>
        <a:prstGeom prst="rect">
          <a:avLst/>
        </a:prstGeom>
      </xdr:spPr>
    </xdr:pic>
    <xdr:clientData/>
  </xdr:twoCellAnchor>
  <xdr:twoCellAnchor editAs="oneCell">
    <xdr:from>
      <xdr:col>0</xdr:col>
      <xdr:colOff>4114800</xdr:colOff>
      <xdr:row>37</xdr:row>
      <xdr:rowOff>114300</xdr:rowOff>
    </xdr:from>
    <xdr:to>
      <xdr:col>0</xdr:col>
      <xdr:colOff>5194300</xdr:colOff>
      <xdr:row>40</xdr:row>
      <xdr:rowOff>190500</xdr:rowOff>
    </xdr:to>
    <xdr:pic>
      <xdr:nvPicPr>
        <xdr:cNvPr id="10" name="Picture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14800" y="15497175"/>
          <a:ext cx="1079500" cy="676275"/>
        </a:xfrm>
        <a:prstGeom prst="rect">
          <a:avLst/>
        </a:prstGeom>
      </xdr:spPr>
    </xdr:pic>
    <xdr:clientData/>
  </xdr:twoCellAnchor>
  <xdr:twoCellAnchor editAs="oneCell">
    <xdr:from>
      <xdr:col>0</xdr:col>
      <xdr:colOff>3514726</xdr:colOff>
      <xdr:row>0</xdr:row>
      <xdr:rowOff>123825</xdr:rowOff>
    </xdr:from>
    <xdr:to>
      <xdr:col>0</xdr:col>
      <xdr:colOff>5048250</xdr:colOff>
      <xdr:row>4</xdr:row>
      <xdr:rowOff>158639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3514726" y="123825"/>
          <a:ext cx="1533524" cy="1063514"/>
        </a:xfrm>
        <a:prstGeom prst="rect">
          <a:avLst/>
        </a:prstGeom>
      </xdr:spPr>
    </xdr:pic>
    <xdr:clientData/>
  </xdr:twoCellAnchor>
  <xdr:twoCellAnchor editAs="oneCell">
    <xdr:from>
      <xdr:col>0</xdr:col>
      <xdr:colOff>3471004</xdr:colOff>
      <xdr:row>52</xdr:row>
      <xdr:rowOff>43780</xdr:rowOff>
    </xdr:from>
    <xdr:to>
      <xdr:col>0</xdr:col>
      <xdr:colOff>6506842</xdr:colOff>
      <xdr:row>60</xdr:row>
      <xdr:rowOff>13287</xdr:rowOff>
    </xdr:to>
    <xdr:pic>
      <xdr:nvPicPr>
        <xdr:cNvPr id="13" name="Picture 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471004" y="22073744"/>
          <a:ext cx="3035838" cy="1602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916780</xdr:colOff>
      <xdr:row>25</xdr:row>
      <xdr:rowOff>152400</xdr:rowOff>
    </xdr:from>
    <xdr:to>
      <xdr:col>4</xdr:col>
      <xdr:colOff>2851</xdr:colOff>
      <xdr:row>25</xdr:row>
      <xdr:rowOff>153997</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a:off x="1193404" y="3779885"/>
          <a:ext cx="1182142" cy="1597"/>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271462</xdr:colOff>
      <xdr:row>17</xdr:row>
      <xdr:rowOff>9525</xdr:rowOff>
    </xdr:from>
    <xdr:to>
      <xdr:col>9</xdr:col>
      <xdr:colOff>261938</xdr:colOff>
      <xdr:row>17</xdr:row>
      <xdr:rowOff>9526</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a:off x="2819400" y="2247900"/>
          <a:ext cx="1347788"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9525</xdr:colOff>
      <xdr:row>23</xdr:row>
      <xdr:rowOff>154781</xdr:rowOff>
    </xdr:from>
    <xdr:to>
      <xdr:col>10</xdr:col>
      <xdr:colOff>0</xdr:colOff>
      <xdr:row>23</xdr:row>
      <xdr:rowOff>154782</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a:off x="2831306" y="3559969"/>
          <a:ext cx="1347788"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15</xdr:row>
      <xdr:rowOff>0</xdr:rowOff>
    </xdr:from>
    <xdr:to>
      <xdr:col>15</xdr:col>
      <xdr:colOff>676275</xdr:colOff>
      <xdr:row>15</xdr:row>
      <xdr:rowOff>0</xdr:rowOff>
    </xdr:to>
    <xdr:cxnSp macro="">
      <xdr:nvCxnSpPr>
        <xdr:cNvPr id="8" name="Straight Arrow Connector 7">
          <a:extLst>
            <a:ext uri="{FF2B5EF4-FFF2-40B4-BE49-F238E27FC236}">
              <a16:creationId xmlns:a16="http://schemas.microsoft.com/office/drawing/2014/main" id="{00000000-0008-0000-0400-000008000000}"/>
            </a:ext>
          </a:extLst>
        </xdr:cNvPr>
        <xdr:cNvCxnSpPr/>
      </xdr:nvCxnSpPr>
      <xdr:spPr>
        <a:xfrm>
          <a:off x="6953250" y="1781175"/>
          <a:ext cx="20383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17</xdr:row>
      <xdr:rowOff>152400</xdr:rowOff>
    </xdr:from>
    <xdr:to>
      <xdr:col>15</xdr:col>
      <xdr:colOff>676275</xdr:colOff>
      <xdr:row>17</xdr:row>
      <xdr:rowOff>152400</xdr:rowOff>
    </xdr:to>
    <xdr:cxnSp macro="">
      <xdr:nvCxnSpPr>
        <xdr:cNvPr id="10" name="Straight Arrow Connector 9">
          <a:extLst>
            <a:ext uri="{FF2B5EF4-FFF2-40B4-BE49-F238E27FC236}">
              <a16:creationId xmlns:a16="http://schemas.microsoft.com/office/drawing/2014/main" id="{00000000-0008-0000-0400-00000A000000}"/>
            </a:ext>
          </a:extLst>
        </xdr:cNvPr>
        <xdr:cNvCxnSpPr/>
      </xdr:nvCxnSpPr>
      <xdr:spPr>
        <a:xfrm>
          <a:off x="6953250" y="2257425"/>
          <a:ext cx="203835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316707</xdr:colOff>
      <xdr:row>9</xdr:row>
      <xdr:rowOff>11906</xdr:rowOff>
    </xdr:from>
    <xdr:to>
      <xdr:col>17</xdr:col>
      <xdr:colOff>316707</xdr:colOff>
      <xdr:row>13</xdr:row>
      <xdr:rowOff>164306</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flipV="1">
          <a:off x="7543801" y="916781"/>
          <a:ext cx="0" cy="81915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164304</xdr:colOff>
      <xdr:row>9</xdr:row>
      <xdr:rowOff>23814</xdr:rowOff>
    </xdr:from>
    <xdr:to>
      <xdr:col>21</xdr:col>
      <xdr:colOff>164304</xdr:colOff>
      <xdr:row>14</xdr:row>
      <xdr:rowOff>14289</xdr:rowOff>
    </xdr:to>
    <xdr:cxnSp macro="">
      <xdr:nvCxnSpPr>
        <xdr:cNvPr id="13" name="Straight Arrow Connector 12">
          <a:extLst>
            <a:ext uri="{FF2B5EF4-FFF2-40B4-BE49-F238E27FC236}">
              <a16:creationId xmlns:a16="http://schemas.microsoft.com/office/drawing/2014/main" id="{00000000-0008-0000-0400-00000D000000}"/>
            </a:ext>
          </a:extLst>
        </xdr:cNvPr>
        <xdr:cNvCxnSpPr/>
      </xdr:nvCxnSpPr>
      <xdr:spPr>
        <a:xfrm flipV="1">
          <a:off x="9374979" y="1881189"/>
          <a:ext cx="0" cy="800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321470</xdr:colOff>
      <xdr:row>9</xdr:row>
      <xdr:rowOff>9526</xdr:rowOff>
    </xdr:from>
    <xdr:to>
      <xdr:col>24</xdr:col>
      <xdr:colOff>321470</xdr:colOff>
      <xdr:row>14</xdr:row>
      <xdr:rowOff>1</xdr:rowOff>
    </xdr:to>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V="1">
          <a:off x="11132345" y="914401"/>
          <a:ext cx="0" cy="823913"/>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166687</xdr:colOff>
      <xdr:row>18</xdr:row>
      <xdr:rowOff>194734</xdr:rowOff>
    </xdr:from>
    <xdr:to>
      <xdr:col>16</xdr:col>
      <xdr:colOff>182033</xdr:colOff>
      <xdr:row>34</xdr:row>
      <xdr:rowOff>11905</xdr:rowOff>
    </xdr:to>
    <xdr:cxnSp macro="">
      <xdr:nvCxnSpPr>
        <xdr:cNvPr id="16" name="Straight Arrow Connector 15">
          <a:extLst>
            <a:ext uri="{FF2B5EF4-FFF2-40B4-BE49-F238E27FC236}">
              <a16:creationId xmlns:a16="http://schemas.microsoft.com/office/drawing/2014/main" id="{00000000-0008-0000-0400-000010000000}"/>
            </a:ext>
          </a:extLst>
        </xdr:cNvPr>
        <xdr:cNvCxnSpPr/>
      </xdr:nvCxnSpPr>
      <xdr:spPr>
        <a:xfrm flipH="1">
          <a:off x="6719887" y="3526367"/>
          <a:ext cx="15346" cy="2645038"/>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478367</xdr:colOff>
      <xdr:row>18</xdr:row>
      <xdr:rowOff>194734</xdr:rowOff>
    </xdr:from>
    <xdr:to>
      <xdr:col>17</xdr:col>
      <xdr:colOff>500062</xdr:colOff>
      <xdr:row>33</xdr:row>
      <xdr:rowOff>154780</xdr:rowOff>
    </xdr:to>
    <xdr:cxnSp macro="">
      <xdr:nvCxnSpPr>
        <xdr:cNvPr id="17" name="Straight Arrow Connector 16">
          <a:extLst>
            <a:ext uri="{FF2B5EF4-FFF2-40B4-BE49-F238E27FC236}">
              <a16:creationId xmlns:a16="http://schemas.microsoft.com/office/drawing/2014/main" id="{00000000-0008-0000-0400-000011000000}"/>
            </a:ext>
          </a:extLst>
        </xdr:cNvPr>
        <xdr:cNvCxnSpPr/>
      </xdr:nvCxnSpPr>
      <xdr:spPr>
        <a:xfrm>
          <a:off x="7717367" y="3526367"/>
          <a:ext cx="21695" cy="262281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0</xdr:colOff>
      <xdr:row>25</xdr:row>
      <xdr:rowOff>154781</xdr:rowOff>
    </xdr:from>
    <xdr:to>
      <xdr:col>19</xdr:col>
      <xdr:colOff>0</xdr:colOff>
      <xdr:row>25</xdr:row>
      <xdr:rowOff>154781</xdr:rowOff>
    </xdr:to>
    <xdr:cxnSp macro="">
      <xdr:nvCxnSpPr>
        <xdr:cNvPr id="18" name="Straight Arrow Connector 17">
          <a:extLst>
            <a:ext uri="{FF2B5EF4-FFF2-40B4-BE49-F238E27FC236}">
              <a16:creationId xmlns:a16="http://schemas.microsoft.com/office/drawing/2014/main" id="{00000000-0008-0000-0400-000012000000}"/>
            </a:ext>
          </a:extLst>
        </xdr:cNvPr>
        <xdr:cNvCxnSpPr/>
      </xdr:nvCxnSpPr>
      <xdr:spPr>
        <a:xfrm>
          <a:off x="5000625" y="3893344"/>
          <a:ext cx="3429000" cy="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259556</xdr:colOff>
      <xdr:row>25</xdr:row>
      <xdr:rowOff>164306</xdr:rowOff>
    </xdr:from>
    <xdr:to>
      <xdr:col>25</xdr:col>
      <xdr:colOff>-1</xdr:colOff>
      <xdr:row>26</xdr:row>
      <xdr:rowOff>0</xdr:rowOff>
    </xdr:to>
    <xdr:cxnSp macro="">
      <xdr:nvCxnSpPr>
        <xdr:cNvPr id="20" name="Straight Arrow Connector 19">
          <a:extLst>
            <a:ext uri="{FF2B5EF4-FFF2-40B4-BE49-F238E27FC236}">
              <a16:creationId xmlns:a16="http://schemas.microsoft.com/office/drawing/2014/main" id="{00000000-0008-0000-0400-000014000000}"/>
            </a:ext>
          </a:extLst>
        </xdr:cNvPr>
        <xdr:cNvCxnSpPr/>
      </xdr:nvCxnSpPr>
      <xdr:spPr>
        <a:xfrm>
          <a:off x="9213056" y="3902869"/>
          <a:ext cx="1383506" cy="238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7144</xdr:colOff>
      <xdr:row>36</xdr:row>
      <xdr:rowOff>164307</xdr:rowOff>
    </xdr:from>
    <xdr:to>
      <xdr:col>9</xdr:col>
      <xdr:colOff>271463</xdr:colOff>
      <xdr:row>36</xdr:row>
      <xdr:rowOff>164308</xdr:rowOff>
    </xdr:to>
    <xdr:cxnSp macro="">
      <xdr:nvCxnSpPr>
        <xdr:cNvPr id="26" name="Straight Arrow Connector 25">
          <a:extLst>
            <a:ext uri="{FF2B5EF4-FFF2-40B4-BE49-F238E27FC236}">
              <a16:creationId xmlns:a16="http://schemas.microsoft.com/office/drawing/2014/main" id="{00000000-0008-0000-0400-00001A000000}"/>
            </a:ext>
          </a:extLst>
        </xdr:cNvPr>
        <xdr:cNvCxnSpPr/>
      </xdr:nvCxnSpPr>
      <xdr:spPr>
        <a:xfrm>
          <a:off x="2828925" y="5736432"/>
          <a:ext cx="1347788" cy="1"/>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28</xdr:row>
      <xdr:rowOff>0</xdr:rowOff>
    </xdr:from>
    <xdr:to>
      <xdr:col>11</xdr:col>
      <xdr:colOff>11906</xdr:colOff>
      <xdr:row>34</xdr:row>
      <xdr:rowOff>11906</xdr:rowOff>
    </xdr:to>
    <xdr:cxnSp macro="">
      <xdr:nvCxnSpPr>
        <xdr:cNvPr id="27" name="Straight Arrow Connector 26">
          <a:extLst>
            <a:ext uri="{FF2B5EF4-FFF2-40B4-BE49-F238E27FC236}">
              <a16:creationId xmlns:a16="http://schemas.microsoft.com/office/drawing/2014/main" id="{00000000-0008-0000-0400-00001B000000}"/>
            </a:ext>
          </a:extLst>
        </xdr:cNvPr>
        <xdr:cNvCxnSpPr/>
      </xdr:nvCxnSpPr>
      <xdr:spPr>
        <a:xfrm flipH="1">
          <a:off x="4631531" y="4441031"/>
          <a:ext cx="11906" cy="1047750"/>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188120</xdr:colOff>
      <xdr:row>28</xdr:row>
      <xdr:rowOff>0</xdr:rowOff>
    </xdr:from>
    <xdr:to>
      <xdr:col>11</xdr:col>
      <xdr:colOff>190500</xdr:colOff>
      <xdr:row>34</xdr:row>
      <xdr:rowOff>9525</xdr:rowOff>
    </xdr:to>
    <xdr:cxnSp macro="">
      <xdr:nvCxnSpPr>
        <xdr:cNvPr id="29" name="Straight Arrow Connector 28">
          <a:extLst>
            <a:ext uri="{FF2B5EF4-FFF2-40B4-BE49-F238E27FC236}">
              <a16:creationId xmlns:a16="http://schemas.microsoft.com/office/drawing/2014/main" id="{00000000-0008-0000-0400-00001D000000}"/>
            </a:ext>
          </a:extLst>
        </xdr:cNvPr>
        <xdr:cNvCxnSpPr/>
      </xdr:nvCxnSpPr>
      <xdr:spPr>
        <a:xfrm flipH="1">
          <a:off x="4819651" y="4441031"/>
          <a:ext cx="2380" cy="1045369"/>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130968</xdr:colOff>
      <xdr:row>28</xdr:row>
      <xdr:rowOff>164306</xdr:rowOff>
    </xdr:from>
    <xdr:to>
      <xdr:col>20</xdr:col>
      <xdr:colOff>135731</xdr:colOff>
      <xdr:row>34</xdr:row>
      <xdr:rowOff>11906</xdr:rowOff>
    </xdr:to>
    <xdr:cxnSp macro="">
      <xdr:nvCxnSpPr>
        <xdr:cNvPr id="33" name="Straight Arrow Connector 32">
          <a:extLst>
            <a:ext uri="{FF2B5EF4-FFF2-40B4-BE49-F238E27FC236}">
              <a16:creationId xmlns:a16="http://schemas.microsoft.com/office/drawing/2014/main" id="{00000000-0008-0000-0400-000021000000}"/>
            </a:ext>
          </a:extLst>
        </xdr:cNvPr>
        <xdr:cNvCxnSpPr/>
      </xdr:nvCxnSpPr>
      <xdr:spPr>
        <a:xfrm flipH="1">
          <a:off x="8822531" y="4402931"/>
          <a:ext cx="4763" cy="847725"/>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128587</xdr:colOff>
      <xdr:row>28</xdr:row>
      <xdr:rowOff>150018</xdr:rowOff>
    </xdr:from>
    <xdr:to>
      <xdr:col>26</xdr:col>
      <xdr:colOff>133350</xdr:colOff>
      <xdr:row>33</xdr:row>
      <xdr:rowOff>164305</xdr:rowOff>
    </xdr:to>
    <xdr:cxnSp macro="">
      <xdr:nvCxnSpPr>
        <xdr:cNvPr id="35" name="Straight Arrow Connector 34">
          <a:extLst>
            <a:ext uri="{FF2B5EF4-FFF2-40B4-BE49-F238E27FC236}">
              <a16:creationId xmlns:a16="http://schemas.microsoft.com/office/drawing/2014/main" id="{00000000-0008-0000-0400-000023000000}"/>
            </a:ext>
          </a:extLst>
        </xdr:cNvPr>
        <xdr:cNvCxnSpPr/>
      </xdr:nvCxnSpPr>
      <xdr:spPr>
        <a:xfrm flipH="1">
          <a:off x="10987087" y="4388643"/>
          <a:ext cx="4763" cy="847725"/>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738187</xdr:colOff>
      <xdr:row>23</xdr:row>
      <xdr:rowOff>83342</xdr:rowOff>
    </xdr:from>
    <xdr:ext cx="1286314" cy="248851"/>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738187" y="3488530"/>
          <a:ext cx="128631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000" b="0"/>
            <a:t>F1</a:t>
          </a:r>
          <a:r>
            <a:rPr lang="en-GB" sz="1000" b="0" baseline="0"/>
            <a:t> - </a:t>
          </a:r>
          <a:r>
            <a:rPr lang="en-GB" sz="1000" b="0"/>
            <a:t>MSW generation</a:t>
          </a:r>
        </a:p>
      </xdr:txBody>
    </xdr:sp>
    <xdr:clientData/>
  </xdr:oneCellAnchor>
  <xdr:oneCellAnchor>
    <xdr:from>
      <xdr:col>6</xdr:col>
      <xdr:colOff>271462</xdr:colOff>
      <xdr:row>13</xdr:row>
      <xdr:rowOff>69054</xdr:rowOff>
    </xdr:from>
    <xdr:ext cx="1359694" cy="405367"/>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2997993" y="1843085"/>
          <a:ext cx="1359694"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F2</a:t>
          </a:r>
          <a:r>
            <a:rPr lang="en-GB" sz="1000" b="0" baseline="0"/>
            <a:t> - </a:t>
          </a:r>
          <a:r>
            <a:rPr lang="en-GB" sz="1000" b="0"/>
            <a:t>Waste captured by collection services</a:t>
          </a:r>
        </a:p>
      </xdr:txBody>
    </xdr:sp>
    <xdr:clientData/>
  </xdr:oneCellAnchor>
  <xdr:oneCellAnchor>
    <xdr:from>
      <xdr:col>7</xdr:col>
      <xdr:colOff>42862</xdr:colOff>
      <xdr:row>20</xdr:row>
      <xdr:rowOff>19047</xdr:rowOff>
    </xdr:from>
    <xdr:ext cx="1359694" cy="561885"/>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3059112" y="3702047"/>
          <a:ext cx="1359694"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F3</a:t>
          </a:r>
          <a:r>
            <a:rPr lang="en-GB" sz="1000" b="0" baseline="0"/>
            <a:t> - M</a:t>
          </a:r>
          <a:r>
            <a:rPr lang="en-GB" sz="1000" b="0"/>
            <a:t>aterials collected by informal value</a:t>
          </a:r>
          <a:r>
            <a:rPr lang="en-GB" sz="1000" b="0" baseline="0"/>
            <a:t> chain</a:t>
          </a:r>
          <a:endParaRPr lang="en-GB" sz="1000" b="0"/>
        </a:p>
      </xdr:txBody>
    </xdr:sp>
    <xdr:clientData/>
  </xdr:oneCellAnchor>
  <xdr:oneCellAnchor>
    <xdr:from>
      <xdr:col>6</xdr:col>
      <xdr:colOff>250029</xdr:colOff>
      <xdr:row>33</xdr:row>
      <xdr:rowOff>107155</xdr:rowOff>
    </xdr:from>
    <xdr:ext cx="1345407" cy="405367"/>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2797967" y="5214936"/>
          <a:ext cx="1345407"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F4</a:t>
          </a:r>
          <a:r>
            <a:rPr lang="en-GB" sz="1000" b="0" baseline="0"/>
            <a:t> - U</a:t>
          </a:r>
          <a:r>
            <a:rPr lang="en-GB" sz="1000" b="0"/>
            <a:t>ncollected waste</a:t>
          </a:r>
        </a:p>
      </xdr:txBody>
    </xdr:sp>
    <xdr:clientData/>
  </xdr:oneCellAnchor>
  <xdr:oneCellAnchor>
    <xdr:from>
      <xdr:col>12</xdr:col>
      <xdr:colOff>128318</xdr:colOff>
      <xdr:row>11</xdr:row>
      <xdr:rowOff>119063</xdr:rowOff>
    </xdr:from>
    <xdr:ext cx="1940719" cy="405367"/>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5049568" y="2325689"/>
          <a:ext cx="1940719"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F5</a:t>
          </a:r>
          <a:r>
            <a:rPr lang="en-GB" sz="1000" b="0" baseline="0"/>
            <a:t> - Waste collected by collection services diverted from disposal</a:t>
          </a:r>
          <a:endParaRPr lang="en-GB" sz="1000" b="0"/>
        </a:p>
      </xdr:txBody>
    </xdr:sp>
    <xdr:clientData/>
  </xdr:oneCellAnchor>
  <xdr:oneCellAnchor>
    <xdr:from>
      <xdr:col>12</xdr:col>
      <xdr:colOff>238126</xdr:colOff>
      <xdr:row>18</xdr:row>
      <xdr:rowOff>107156</xdr:rowOff>
    </xdr:from>
    <xdr:ext cx="1476375" cy="405367"/>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5159376" y="3499115"/>
          <a:ext cx="1476375"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F6</a:t>
          </a:r>
          <a:r>
            <a:rPr lang="en-GB" sz="1000" b="0" baseline="0"/>
            <a:t> - Materials collected by informal value chain</a:t>
          </a:r>
          <a:endParaRPr lang="en-GB" sz="1000" b="0"/>
        </a:p>
      </xdr:txBody>
    </xdr:sp>
    <xdr:clientData/>
  </xdr:oneCellAnchor>
  <xdr:oneCellAnchor>
    <xdr:from>
      <xdr:col>14</xdr:col>
      <xdr:colOff>440530</xdr:colOff>
      <xdr:row>26</xdr:row>
      <xdr:rowOff>102391</xdr:rowOff>
    </xdr:from>
    <xdr:ext cx="869157" cy="916784"/>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5926930" y="4845841"/>
          <a:ext cx="869157" cy="916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GB" sz="1000" b="0"/>
            <a:t>F14</a:t>
          </a:r>
          <a:r>
            <a:rPr lang="en-GB" sz="1000" b="0" baseline="0"/>
            <a:t> - Plastic leakage from formal sorting</a:t>
          </a:r>
          <a:endParaRPr lang="en-GB" sz="1000" b="0"/>
        </a:p>
      </xdr:txBody>
    </xdr:sp>
    <xdr:clientData/>
  </xdr:oneCellAnchor>
  <xdr:oneCellAnchor>
    <xdr:from>
      <xdr:col>17</xdr:col>
      <xdr:colOff>450058</xdr:colOff>
      <xdr:row>26</xdr:row>
      <xdr:rowOff>52389</xdr:rowOff>
    </xdr:from>
    <xdr:ext cx="988218" cy="889527"/>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7710225" y="4772556"/>
          <a:ext cx="988218" cy="889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lang="en-GB" sz="1000" b="0"/>
            <a:t>F15</a:t>
          </a:r>
          <a:r>
            <a:rPr lang="en-GB" sz="1000" b="0" baseline="0"/>
            <a:t> - Plastic leakage from informal service chain sorting</a:t>
          </a:r>
          <a:endParaRPr lang="en-GB" sz="1000" b="0"/>
        </a:p>
      </xdr:txBody>
    </xdr:sp>
    <xdr:clientData/>
  </xdr:oneCellAnchor>
  <xdr:oneCellAnchor>
    <xdr:from>
      <xdr:col>20</xdr:col>
      <xdr:colOff>95251</xdr:colOff>
      <xdr:row>29</xdr:row>
      <xdr:rowOff>1</xdr:rowOff>
    </xdr:from>
    <xdr:ext cx="1619249" cy="405367"/>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8965407" y="5417345"/>
          <a:ext cx="1619249"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000" b="0"/>
            <a:t>F16</a:t>
          </a:r>
          <a:r>
            <a:rPr lang="en-GB" sz="1000" b="0" baseline="0"/>
            <a:t> - Plastic leakage during transportation to disposal</a:t>
          </a:r>
          <a:endParaRPr lang="en-GB" sz="1000" b="0"/>
        </a:p>
      </xdr:txBody>
    </xdr:sp>
    <xdr:clientData/>
  </xdr:oneCellAnchor>
  <xdr:oneCellAnchor>
    <xdr:from>
      <xdr:col>23</xdr:col>
      <xdr:colOff>296333</xdr:colOff>
      <xdr:row>28</xdr:row>
      <xdr:rowOff>191822</xdr:rowOff>
    </xdr:from>
    <xdr:ext cx="1526645" cy="405367"/>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10519833" y="5271822"/>
          <a:ext cx="1526645"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a:t>F17</a:t>
          </a:r>
          <a:r>
            <a:rPr lang="en-GB" sz="1000" b="0" baseline="0"/>
            <a:t> - Plastic leakage from  disposal facilities</a:t>
          </a:r>
          <a:endParaRPr lang="en-GB" sz="1000" b="0"/>
        </a:p>
      </xdr:txBody>
    </xdr:sp>
    <xdr:clientData/>
  </xdr:oneCellAnchor>
  <xdr:oneCellAnchor>
    <xdr:from>
      <xdr:col>8</xdr:col>
      <xdr:colOff>190500</xdr:colOff>
      <xdr:row>28</xdr:row>
      <xdr:rowOff>35716</xdr:rowOff>
    </xdr:from>
    <xdr:ext cx="1214437" cy="561885"/>
    <xdr:sp macro="" textlink="">
      <xdr:nvSpPr>
        <xdr:cNvPr id="46" name="TextBox 45">
          <a:extLst>
            <a:ext uri="{FF2B5EF4-FFF2-40B4-BE49-F238E27FC236}">
              <a16:creationId xmlns:a16="http://schemas.microsoft.com/office/drawing/2014/main" id="{00000000-0008-0000-0400-00002E000000}"/>
            </a:ext>
          </a:extLst>
        </xdr:cNvPr>
        <xdr:cNvSpPr txBox="1"/>
      </xdr:nvSpPr>
      <xdr:spPr>
        <a:xfrm>
          <a:off x="3475567" y="5170749"/>
          <a:ext cx="1214437"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a:t>F12</a:t>
          </a:r>
          <a:r>
            <a:rPr lang="en-GB" sz="1000" b="0" baseline="0"/>
            <a:t> - Plastic leakage from collection services</a:t>
          </a:r>
          <a:endParaRPr lang="en-GB" sz="1000" b="0"/>
        </a:p>
      </xdr:txBody>
    </xdr:sp>
    <xdr:clientData/>
  </xdr:oneCellAnchor>
  <xdr:oneCellAnchor>
    <xdr:from>
      <xdr:col>11</xdr:col>
      <xdr:colOff>140494</xdr:colOff>
      <xdr:row>28</xdr:row>
      <xdr:rowOff>57148</xdr:rowOff>
    </xdr:from>
    <xdr:ext cx="1252539" cy="561885"/>
    <xdr:sp macro="" textlink="">
      <xdr:nvSpPr>
        <xdr:cNvPr id="47" name="TextBox 46">
          <a:extLst>
            <a:ext uri="{FF2B5EF4-FFF2-40B4-BE49-F238E27FC236}">
              <a16:creationId xmlns:a16="http://schemas.microsoft.com/office/drawing/2014/main" id="{00000000-0008-0000-0400-00002F000000}"/>
            </a:ext>
          </a:extLst>
        </xdr:cNvPr>
        <xdr:cNvSpPr txBox="1"/>
      </xdr:nvSpPr>
      <xdr:spPr>
        <a:xfrm>
          <a:off x="4772025" y="4498179"/>
          <a:ext cx="1252539"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000" b="0"/>
            <a:t>F13</a:t>
          </a:r>
          <a:r>
            <a:rPr lang="en-GB" sz="1000" b="0" baseline="0"/>
            <a:t> - Plastic leakage from informal value-chain collection</a:t>
          </a:r>
          <a:endParaRPr lang="en-GB" sz="1000" b="0"/>
        </a:p>
      </xdr:txBody>
    </xdr:sp>
    <xdr:clientData/>
  </xdr:oneCellAnchor>
  <xdr:oneCellAnchor>
    <xdr:from>
      <xdr:col>12</xdr:col>
      <xdr:colOff>142875</xdr:colOff>
      <xdr:row>23</xdr:row>
      <xdr:rowOff>0</xdr:rowOff>
    </xdr:from>
    <xdr:ext cx="1702593" cy="405367"/>
    <xdr:sp macro="" textlink="">
      <xdr:nvSpPr>
        <xdr:cNvPr id="48" name="TextBox 47">
          <a:extLst>
            <a:ext uri="{FF2B5EF4-FFF2-40B4-BE49-F238E27FC236}">
              <a16:creationId xmlns:a16="http://schemas.microsoft.com/office/drawing/2014/main" id="{00000000-0008-0000-0400-000030000000}"/>
            </a:ext>
          </a:extLst>
        </xdr:cNvPr>
        <xdr:cNvSpPr txBox="1"/>
      </xdr:nvSpPr>
      <xdr:spPr>
        <a:xfrm>
          <a:off x="4869656" y="3381374"/>
          <a:ext cx="1702593"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F7</a:t>
          </a:r>
          <a:r>
            <a:rPr lang="en-GB" sz="1000" b="0" baseline="0"/>
            <a:t> - Direct to disposal (untreated)</a:t>
          </a:r>
          <a:endParaRPr lang="en-GB" sz="1000" b="0"/>
        </a:p>
      </xdr:txBody>
    </xdr:sp>
    <xdr:clientData/>
  </xdr:oneCellAnchor>
  <xdr:oneCellAnchor>
    <xdr:from>
      <xdr:col>22</xdr:col>
      <xdr:colOff>200024</xdr:colOff>
      <xdr:row>23</xdr:row>
      <xdr:rowOff>104774</xdr:rowOff>
    </xdr:from>
    <xdr:ext cx="1702593" cy="248851"/>
    <xdr:sp macro="" textlink="">
      <xdr:nvSpPr>
        <xdr:cNvPr id="49" name="TextBox 48">
          <a:extLst>
            <a:ext uri="{FF2B5EF4-FFF2-40B4-BE49-F238E27FC236}">
              <a16:creationId xmlns:a16="http://schemas.microsoft.com/office/drawing/2014/main" id="{00000000-0008-0000-0400-000031000000}"/>
            </a:ext>
          </a:extLst>
        </xdr:cNvPr>
        <xdr:cNvSpPr txBox="1"/>
      </xdr:nvSpPr>
      <xdr:spPr>
        <a:xfrm>
          <a:off x="9703857" y="4346574"/>
          <a:ext cx="170259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F11</a:t>
          </a:r>
          <a:r>
            <a:rPr lang="en-GB" sz="1000" b="0" baseline="0"/>
            <a:t> - Waste for disposal</a:t>
          </a:r>
          <a:endParaRPr lang="en-GB" sz="1000" b="0"/>
        </a:p>
      </xdr:txBody>
    </xdr:sp>
    <xdr:clientData/>
  </xdr:oneCellAnchor>
  <xdr:oneCellAnchor>
    <xdr:from>
      <xdr:col>16</xdr:col>
      <xdr:colOff>309562</xdr:colOff>
      <xdr:row>5</xdr:row>
      <xdr:rowOff>83345</xdr:rowOff>
    </xdr:from>
    <xdr:ext cx="1452563" cy="405367"/>
    <xdr:sp macro="" textlink="">
      <xdr:nvSpPr>
        <xdr:cNvPr id="50" name="TextBox 49">
          <a:extLst>
            <a:ext uri="{FF2B5EF4-FFF2-40B4-BE49-F238E27FC236}">
              <a16:creationId xmlns:a16="http://schemas.microsoft.com/office/drawing/2014/main" id="{00000000-0008-0000-0400-000032000000}"/>
            </a:ext>
          </a:extLst>
        </xdr:cNvPr>
        <xdr:cNvSpPr txBox="1"/>
      </xdr:nvSpPr>
      <xdr:spPr>
        <a:xfrm>
          <a:off x="6881812" y="1141678"/>
          <a:ext cx="1452563"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F8 - Sorted for recovery from</a:t>
          </a:r>
          <a:r>
            <a:rPr lang="en-GB" sz="1000" b="0" baseline="0"/>
            <a:t> formal collection</a:t>
          </a:r>
          <a:endParaRPr lang="en-GB" sz="1000" b="0"/>
        </a:p>
      </xdr:txBody>
    </xdr:sp>
    <xdr:clientData/>
  </xdr:oneCellAnchor>
  <xdr:oneCellAnchor>
    <xdr:from>
      <xdr:col>18</xdr:col>
      <xdr:colOff>645319</xdr:colOff>
      <xdr:row>5</xdr:row>
      <xdr:rowOff>76200</xdr:rowOff>
    </xdr:from>
    <xdr:ext cx="1659732" cy="405367"/>
    <xdr:sp macro="" textlink="">
      <xdr:nvSpPr>
        <xdr:cNvPr id="51" name="TextBox 50">
          <a:extLst>
            <a:ext uri="{FF2B5EF4-FFF2-40B4-BE49-F238E27FC236}">
              <a16:creationId xmlns:a16="http://schemas.microsoft.com/office/drawing/2014/main" id="{00000000-0008-0000-0400-000033000000}"/>
            </a:ext>
          </a:extLst>
        </xdr:cNvPr>
        <xdr:cNvSpPr txBox="1"/>
      </xdr:nvSpPr>
      <xdr:spPr>
        <a:xfrm>
          <a:off x="8593402" y="1134533"/>
          <a:ext cx="1659732"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F9 - Sorted for recovery from informal collection</a:t>
          </a:r>
        </a:p>
      </xdr:txBody>
    </xdr:sp>
    <xdr:clientData/>
  </xdr:oneCellAnchor>
  <xdr:oneCellAnchor>
    <xdr:from>
      <xdr:col>23</xdr:col>
      <xdr:colOff>357187</xdr:colOff>
      <xdr:row>5</xdr:row>
      <xdr:rowOff>92869</xdr:rowOff>
    </xdr:from>
    <xdr:ext cx="1452563" cy="248851"/>
    <xdr:sp macro="" textlink="">
      <xdr:nvSpPr>
        <xdr:cNvPr id="52" name="TextBox 51">
          <a:extLst>
            <a:ext uri="{FF2B5EF4-FFF2-40B4-BE49-F238E27FC236}">
              <a16:creationId xmlns:a16="http://schemas.microsoft.com/office/drawing/2014/main" id="{00000000-0008-0000-0400-000034000000}"/>
            </a:ext>
          </a:extLst>
        </xdr:cNvPr>
        <xdr:cNvSpPr txBox="1"/>
      </xdr:nvSpPr>
      <xdr:spPr>
        <a:xfrm>
          <a:off x="10567987" y="1150144"/>
          <a:ext cx="145256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GB" sz="1000" b="0"/>
            <a:t>F10 - Energy from waste</a:t>
          </a:r>
        </a:p>
      </xdr:txBody>
    </xdr:sp>
    <xdr:clientData/>
  </xdr:oneCellAnchor>
  <xdr:twoCellAnchor>
    <xdr:from>
      <xdr:col>29</xdr:col>
      <xdr:colOff>59679</xdr:colOff>
      <xdr:row>10</xdr:row>
      <xdr:rowOff>158196</xdr:rowOff>
    </xdr:from>
    <xdr:to>
      <xdr:col>29</xdr:col>
      <xdr:colOff>639536</xdr:colOff>
      <xdr:row>10</xdr:row>
      <xdr:rowOff>159884</xdr:rowOff>
    </xdr:to>
    <xdr:cxnSp macro="">
      <xdr:nvCxnSpPr>
        <xdr:cNvPr id="54" name="Straight Arrow Connector 53">
          <a:extLst>
            <a:ext uri="{FF2B5EF4-FFF2-40B4-BE49-F238E27FC236}">
              <a16:creationId xmlns:a16="http://schemas.microsoft.com/office/drawing/2014/main" id="{00000000-0008-0000-0400-000036000000}"/>
            </a:ext>
          </a:extLst>
        </xdr:cNvPr>
        <xdr:cNvCxnSpPr/>
      </xdr:nvCxnSpPr>
      <xdr:spPr>
        <a:xfrm>
          <a:off x="12928634" y="1212750"/>
          <a:ext cx="579857" cy="1688"/>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57149</xdr:colOff>
      <xdr:row>12</xdr:row>
      <xdr:rowOff>92870</xdr:rowOff>
    </xdr:from>
    <xdr:to>
      <xdr:col>29</xdr:col>
      <xdr:colOff>636749</xdr:colOff>
      <xdr:row>12</xdr:row>
      <xdr:rowOff>95249</xdr:rowOff>
    </xdr:to>
    <xdr:cxnSp macro="">
      <xdr:nvCxnSpPr>
        <xdr:cNvPr id="59" name="Straight Arrow Connector 58">
          <a:extLst>
            <a:ext uri="{FF2B5EF4-FFF2-40B4-BE49-F238E27FC236}">
              <a16:creationId xmlns:a16="http://schemas.microsoft.com/office/drawing/2014/main" id="{00000000-0008-0000-0400-00003B000000}"/>
            </a:ext>
          </a:extLst>
        </xdr:cNvPr>
        <xdr:cNvCxnSpPr/>
      </xdr:nvCxnSpPr>
      <xdr:spPr>
        <a:xfrm>
          <a:off x="13192124" y="1464470"/>
          <a:ext cx="579600" cy="2379"/>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0</xdr:colOff>
      <xdr:row>39</xdr:row>
      <xdr:rowOff>0</xdr:rowOff>
    </xdr:from>
    <xdr:to>
      <xdr:col>12</xdr:col>
      <xdr:colOff>2382</xdr:colOff>
      <xdr:row>47</xdr:row>
      <xdr:rowOff>11906</xdr:rowOff>
    </xdr:to>
    <xdr:cxnSp macro="">
      <xdr:nvCxnSpPr>
        <xdr:cNvPr id="64" name="Straight Arrow Connector 63">
          <a:extLst>
            <a:ext uri="{FF2B5EF4-FFF2-40B4-BE49-F238E27FC236}">
              <a16:creationId xmlns:a16="http://schemas.microsoft.com/office/drawing/2014/main" id="{00000000-0008-0000-0400-000040000000}"/>
            </a:ext>
          </a:extLst>
        </xdr:cNvPr>
        <xdr:cNvCxnSpPr/>
      </xdr:nvCxnSpPr>
      <xdr:spPr>
        <a:xfrm flipH="1">
          <a:off x="5095875" y="6381750"/>
          <a:ext cx="2382" cy="2012156"/>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190500</xdr:colOff>
      <xdr:row>39</xdr:row>
      <xdr:rowOff>0</xdr:rowOff>
    </xdr:from>
    <xdr:to>
      <xdr:col>16</xdr:col>
      <xdr:colOff>190500</xdr:colOff>
      <xdr:row>41</xdr:row>
      <xdr:rowOff>23812</xdr:rowOff>
    </xdr:to>
    <xdr:cxnSp macro="">
      <xdr:nvCxnSpPr>
        <xdr:cNvPr id="66" name="Straight Arrow Connector 65">
          <a:extLst>
            <a:ext uri="{FF2B5EF4-FFF2-40B4-BE49-F238E27FC236}">
              <a16:creationId xmlns:a16="http://schemas.microsoft.com/office/drawing/2014/main" id="{00000000-0008-0000-0400-000042000000}"/>
            </a:ext>
          </a:extLst>
        </xdr:cNvPr>
        <xdr:cNvCxnSpPr/>
      </xdr:nvCxnSpPr>
      <xdr:spPr>
        <a:xfrm>
          <a:off x="6917531" y="6405562"/>
          <a:ext cx="0" cy="50006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152400</xdr:colOff>
      <xdr:row>38</xdr:row>
      <xdr:rowOff>200024</xdr:rowOff>
    </xdr:from>
    <xdr:to>
      <xdr:col>20</xdr:col>
      <xdr:colOff>152400</xdr:colOff>
      <xdr:row>40</xdr:row>
      <xdr:rowOff>164306</xdr:rowOff>
    </xdr:to>
    <xdr:cxnSp macro="">
      <xdr:nvCxnSpPr>
        <xdr:cNvPr id="71" name="Straight Arrow Connector 70">
          <a:extLst>
            <a:ext uri="{FF2B5EF4-FFF2-40B4-BE49-F238E27FC236}">
              <a16:creationId xmlns:a16="http://schemas.microsoft.com/office/drawing/2014/main" id="{00000000-0008-0000-0400-000047000000}"/>
            </a:ext>
          </a:extLst>
        </xdr:cNvPr>
        <xdr:cNvCxnSpPr/>
      </xdr:nvCxnSpPr>
      <xdr:spPr>
        <a:xfrm>
          <a:off x="9213056" y="6379368"/>
          <a:ext cx="0" cy="50006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185737</xdr:colOff>
      <xdr:row>45</xdr:row>
      <xdr:rowOff>7143</xdr:rowOff>
    </xdr:from>
    <xdr:to>
      <xdr:col>16</xdr:col>
      <xdr:colOff>185737</xdr:colOff>
      <xdr:row>46</xdr:row>
      <xdr:rowOff>173831</xdr:rowOff>
    </xdr:to>
    <xdr:cxnSp macro="">
      <xdr:nvCxnSpPr>
        <xdr:cNvPr id="72" name="Straight Arrow Connector 71">
          <a:extLst>
            <a:ext uri="{FF2B5EF4-FFF2-40B4-BE49-F238E27FC236}">
              <a16:creationId xmlns:a16="http://schemas.microsoft.com/office/drawing/2014/main" id="{00000000-0008-0000-0400-000048000000}"/>
            </a:ext>
          </a:extLst>
        </xdr:cNvPr>
        <xdr:cNvCxnSpPr/>
      </xdr:nvCxnSpPr>
      <xdr:spPr>
        <a:xfrm>
          <a:off x="6912768" y="7424737"/>
          <a:ext cx="0" cy="369094"/>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1</xdr:colOff>
      <xdr:row>39</xdr:row>
      <xdr:rowOff>0</xdr:rowOff>
    </xdr:from>
    <xdr:to>
      <xdr:col>26</xdr:col>
      <xdr:colOff>1</xdr:colOff>
      <xdr:row>53</xdr:row>
      <xdr:rowOff>0</xdr:rowOff>
    </xdr:to>
    <xdr:cxnSp macro="">
      <xdr:nvCxnSpPr>
        <xdr:cNvPr id="73" name="Straight Arrow Connector 72">
          <a:extLst>
            <a:ext uri="{FF2B5EF4-FFF2-40B4-BE49-F238E27FC236}">
              <a16:creationId xmlns:a16="http://schemas.microsoft.com/office/drawing/2014/main" id="{00000000-0008-0000-0400-000049000000}"/>
            </a:ext>
          </a:extLst>
        </xdr:cNvPr>
        <xdr:cNvCxnSpPr/>
      </xdr:nvCxnSpPr>
      <xdr:spPr>
        <a:xfrm>
          <a:off x="11953876" y="6391275"/>
          <a:ext cx="0" cy="4002881"/>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23</xdr:col>
      <xdr:colOff>345282</xdr:colOff>
      <xdr:row>38</xdr:row>
      <xdr:rowOff>190501</xdr:rowOff>
    </xdr:from>
    <xdr:ext cx="1309687" cy="405367"/>
    <xdr:sp macro="" textlink="">
      <xdr:nvSpPr>
        <xdr:cNvPr id="76" name="TextBox 75">
          <a:extLst>
            <a:ext uri="{FF2B5EF4-FFF2-40B4-BE49-F238E27FC236}">
              <a16:creationId xmlns:a16="http://schemas.microsoft.com/office/drawing/2014/main" id="{00000000-0008-0000-0400-00004C000000}"/>
            </a:ext>
          </a:extLst>
        </xdr:cNvPr>
        <xdr:cNvSpPr txBox="1"/>
      </xdr:nvSpPr>
      <xdr:spPr>
        <a:xfrm>
          <a:off x="10656095" y="6131720"/>
          <a:ext cx="1309687"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a:t>F22 - Openly burnt plastic waste</a:t>
          </a:r>
        </a:p>
      </xdr:txBody>
    </xdr:sp>
    <xdr:clientData/>
  </xdr:oneCellAnchor>
  <xdr:oneCellAnchor>
    <xdr:from>
      <xdr:col>17</xdr:col>
      <xdr:colOff>504032</xdr:colOff>
      <xdr:row>38</xdr:row>
      <xdr:rowOff>165364</xdr:rowOff>
    </xdr:from>
    <xdr:ext cx="1309687" cy="405367"/>
    <xdr:sp macro="" textlink="">
      <xdr:nvSpPr>
        <xdr:cNvPr id="77" name="TextBox 76">
          <a:extLst>
            <a:ext uri="{FF2B5EF4-FFF2-40B4-BE49-F238E27FC236}">
              <a16:creationId xmlns:a16="http://schemas.microsoft.com/office/drawing/2014/main" id="{00000000-0008-0000-0400-00004D000000}"/>
            </a:ext>
          </a:extLst>
        </xdr:cNvPr>
        <xdr:cNvSpPr txBox="1"/>
      </xdr:nvSpPr>
      <xdr:spPr>
        <a:xfrm>
          <a:off x="7764199" y="6875197"/>
          <a:ext cx="1309687"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a:t>F21 - Plastic retained on land</a:t>
          </a:r>
        </a:p>
      </xdr:txBody>
    </xdr:sp>
    <xdr:clientData/>
  </xdr:oneCellAnchor>
  <xdr:oneCellAnchor>
    <xdr:from>
      <xdr:col>16</xdr:col>
      <xdr:colOff>142876</xdr:colOff>
      <xdr:row>38</xdr:row>
      <xdr:rowOff>154781</xdr:rowOff>
    </xdr:from>
    <xdr:ext cx="1309687" cy="405367"/>
    <xdr:sp macro="" textlink="">
      <xdr:nvSpPr>
        <xdr:cNvPr id="78" name="TextBox 77">
          <a:extLst>
            <a:ext uri="{FF2B5EF4-FFF2-40B4-BE49-F238E27FC236}">
              <a16:creationId xmlns:a16="http://schemas.microsoft.com/office/drawing/2014/main" id="{00000000-0008-0000-0400-00004E000000}"/>
            </a:ext>
          </a:extLst>
        </xdr:cNvPr>
        <xdr:cNvSpPr txBox="1"/>
      </xdr:nvSpPr>
      <xdr:spPr>
        <a:xfrm>
          <a:off x="6869907" y="6096000"/>
          <a:ext cx="1309687"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000" b="0"/>
            <a:t>F19 - Plastic waste entering storm drains</a:t>
          </a:r>
        </a:p>
      </xdr:txBody>
    </xdr:sp>
    <xdr:clientData/>
  </xdr:oneCellAnchor>
  <xdr:oneCellAnchor>
    <xdr:from>
      <xdr:col>16</xdr:col>
      <xdr:colOff>166688</xdr:colOff>
      <xdr:row>44</xdr:row>
      <xdr:rowOff>142876</xdr:rowOff>
    </xdr:from>
    <xdr:ext cx="1512093" cy="405367"/>
    <xdr:sp macro="" textlink="">
      <xdr:nvSpPr>
        <xdr:cNvPr id="79" name="TextBox 78">
          <a:extLst>
            <a:ext uri="{FF2B5EF4-FFF2-40B4-BE49-F238E27FC236}">
              <a16:creationId xmlns:a16="http://schemas.microsoft.com/office/drawing/2014/main" id="{00000000-0008-0000-0400-00004F000000}"/>
            </a:ext>
          </a:extLst>
        </xdr:cNvPr>
        <xdr:cNvSpPr txBox="1"/>
      </xdr:nvSpPr>
      <xdr:spPr>
        <a:xfrm>
          <a:off x="6893719" y="7155657"/>
          <a:ext cx="1512093"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GB" sz="1000" b="0"/>
            <a:t>F20 - Plastic in storm drains to water systems</a:t>
          </a:r>
        </a:p>
      </xdr:txBody>
    </xdr:sp>
    <xdr:clientData/>
  </xdr:oneCellAnchor>
  <xdr:oneCellAnchor>
    <xdr:from>
      <xdr:col>7</xdr:col>
      <xdr:colOff>214313</xdr:colOff>
      <xdr:row>38</xdr:row>
      <xdr:rowOff>178594</xdr:rowOff>
    </xdr:from>
    <xdr:ext cx="1702593" cy="561885"/>
    <xdr:sp macro="" textlink="">
      <xdr:nvSpPr>
        <xdr:cNvPr id="80" name="TextBox 79">
          <a:extLst>
            <a:ext uri="{FF2B5EF4-FFF2-40B4-BE49-F238E27FC236}">
              <a16:creationId xmlns:a16="http://schemas.microsoft.com/office/drawing/2014/main" id="{00000000-0008-0000-0400-000050000000}"/>
            </a:ext>
          </a:extLst>
        </xdr:cNvPr>
        <xdr:cNvSpPr txBox="1"/>
      </xdr:nvSpPr>
      <xdr:spPr>
        <a:xfrm>
          <a:off x="3405188" y="6119813"/>
          <a:ext cx="1702593"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a:t>F18 - Plastic entering</a:t>
          </a:r>
          <a:r>
            <a:rPr lang="en-GB" sz="1000" b="0" baseline="0"/>
            <a:t> water systems (directly or via transportation over land)</a:t>
          </a:r>
          <a:endParaRPr lang="en-GB" sz="1000" b="0"/>
        </a:p>
      </xdr:txBody>
    </xdr:sp>
    <xdr:clientData/>
  </xdr:oneCellAnchor>
  <xdr:twoCellAnchor>
    <xdr:from>
      <xdr:col>3</xdr:col>
      <xdr:colOff>130969</xdr:colOff>
      <xdr:row>11</xdr:row>
      <xdr:rowOff>119062</xdr:rowOff>
    </xdr:from>
    <xdr:to>
      <xdr:col>28</xdr:col>
      <xdr:colOff>309562</xdr:colOff>
      <xdr:row>51</xdr:row>
      <xdr:rowOff>107156</xdr:rowOff>
    </xdr:to>
    <xdr:sp macro="" textlink="">
      <xdr:nvSpPr>
        <xdr:cNvPr id="81" name="Rectangle 80">
          <a:extLst>
            <a:ext uri="{FF2B5EF4-FFF2-40B4-BE49-F238E27FC236}">
              <a16:creationId xmlns:a16="http://schemas.microsoft.com/office/drawing/2014/main" id="{00000000-0008-0000-0400-000051000000}"/>
            </a:ext>
          </a:extLst>
        </xdr:cNvPr>
        <xdr:cNvSpPr/>
      </xdr:nvSpPr>
      <xdr:spPr>
        <a:xfrm>
          <a:off x="2035969" y="2333625"/>
          <a:ext cx="10632281" cy="7036594"/>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2</xdr:col>
      <xdr:colOff>797719</xdr:colOff>
      <xdr:row>10</xdr:row>
      <xdr:rowOff>59531</xdr:rowOff>
    </xdr:from>
    <xdr:ext cx="1750219" cy="248851"/>
    <xdr:sp macro="" textlink="">
      <xdr:nvSpPr>
        <xdr:cNvPr id="82" name="TextBox 81">
          <a:extLst>
            <a:ext uri="{FF2B5EF4-FFF2-40B4-BE49-F238E27FC236}">
              <a16:creationId xmlns:a16="http://schemas.microsoft.com/office/drawing/2014/main" id="{00000000-0008-0000-0400-000052000000}"/>
            </a:ext>
          </a:extLst>
        </xdr:cNvPr>
        <xdr:cNvSpPr txBox="1"/>
      </xdr:nvSpPr>
      <xdr:spPr>
        <a:xfrm>
          <a:off x="2083594" y="1131094"/>
          <a:ext cx="1750219"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en-GB" sz="1000" b="0" i="1"/>
            <a:t>All</a:t>
          </a:r>
          <a:r>
            <a:rPr lang="en-GB" sz="1000" b="0" i="1" baseline="0"/>
            <a:t> flows are in tonnes / year</a:t>
          </a:r>
          <a:endParaRPr lang="en-GB" sz="1000" b="0" i="1"/>
        </a:p>
      </xdr:txBody>
    </xdr:sp>
    <xdr:clientData/>
  </xdr:oneCellAnchor>
  <xdr:twoCellAnchor editAs="oneCell">
    <xdr:from>
      <xdr:col>16</xdr:col>
      <xdr:colOff>476250</xdr:colOff>
      <xdr:row>91</xdr:row>
      <xdr:rowOff>103489</xdr:rowOff>
    </xdr:from>
    <xdr:to>
      <xdr:col>29</xdr:col>
      <xdr:colOff>79200</xdr:colOff>
      <xdr:row>114</xdr:row>
      <xdr:rowOff>141526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48500" y="17381839"/>
          <a:ext cx="6480000" cy="3762312"/>
        </a:xfrm>
        <a:prstGeom prst="rect">
          <a:avLst/>
        </a:prstGeom>
      </xdr:spPr>
    </xdr:pic>
    <xdr:clientData/>
  </xdr:twoCellAnchor>
  <xdr:twoCellAnchor editAs="oneCell">
    <xdr:from>
      <xdr:col>1</xdr:col>
      <xdr:colOff>247650</xdr:colOff>
      <xdr:row>91</xdr:row>
      <xdr:rowOff>66676</xdr:rowOff>
    </xdr:from>
    <xdr:to>
      <xdr:col>16</xdr:col>
      <xdr:colOff>431625</xdr:colOff>
      <xdr:row>114</xdr:row>
      <xdr:rowOff>104713</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23875" y="17345026"/>
          <a:ext cx="6480000" cy="37623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17</xdr:row>
      <xdr:rowOff>123826</xdr:rowOff>
    </xdr:from>
    <xdr:to>
      <xdr:col>2</xdr:col>
      <xdr:colOff>52353</xdr:colOff>
      <xdr:row>38</xdr:row>
      <xdr:rowOff>38101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04800" y="9915526"/>
          <a:ext cx="4662453" cy="4114800"/>
        </a:xfrm>
        <a:prstGeom prst="rect">
          <a:avLst/>
        </a:prstGeom>
      </xdr:spPr>
    </xdr:pic>
    <xdr:clientData/>
  </xdr:twoCellAnchor>
  <xdr:twoCellAnchor editAs="oneCell">
    <xdr:from>
      <xdr:col>0</xdr:col>
      <xdr:colOff>76200</xdr:colOff>
      <xdr:row>83</xdr:row>
      <xdr:rowOff>123825</xdr:rowOff>
    </xdr:from>
    <xdr:to>
      <xdr:col>2</xdr:col>
      <xdr:colOff>419100</xdr:colOff>
      <xdr:row>97</xdr:row>
      <xdr:rowOff>85704</xdr:rowOff>
    </xdr:to>
    <xdr:pic>
      <xdr:nvPicPr>
        <xdr:cNvPr id="3" name="Picture 2" descr="C:\Users\cenjcot\OneDrive - University of Leeds\1804 - GIZ Waste Flow Diagram\Decision Trees\Informal Collection Decision Tree.pn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7261800"/>
          <a:ext cx="5257800" cy="2762229"/>
        </a:xfrm>
        <a:prstGeom prst="rect">
          <a:avLst/>
        </a:prstGeom>
        <a:noFill/>
        <a:ln>
          <a:noFill/>
        </a:ln>
      </xdr:spPr>
    </xdr:pic>
    <xdr:clientData/>
  </xdr:twoCellAnchor>
  <xdr:twoCellAnchor editAs="oneCell">
    <xdr:from>
      <xdr:col>0</xdr:col>
      <xdr:colOff>57150</xdr:colOff>
      <xdr:row>197</xdr:row>
      <xdr:rowOff>28576</xdr:rowOff>
    </xdr:from>
    <xdr:to>
      <xdr:col>2</xdr:col>
      <xdr:colOff>495300</xdr:colOff>
      <xdr:row>212</xdr:row>
      <xdr:rowOff>159175</xdr:rowOff>
    </xdr:to>
    <xdr:pic>
      <xdr:nvPicPr>
        <xdr:cNvPr id="6" name="Picture 5" descr="C:\Users\cenjcot\OneDrive - University of Leeds\1804 - GIZ Waste Flow Diagram\Decision Trees\Transportation Decision Tree.pn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89334976"/>
          <a:ext cx="5353050" cy="3130974"/>
        </a:xfrm>
        <a:prstGeom prst="rect">
          <a:avLst/>
        </a:prstGeom>
        <a:noFill/>
        <a:ln>
          <a:noFill/>
        </a:ln>
      </xdr:spPr>
    </xdr:pic>
    <xdr:clientData/>
  </xdr:twoCellAnchor>
  <xdr:twoCellAnchor editAs="oneCell">
    <xdr:from>
      <xdr:col>0</xdr:col>
      <xdr:colOff>114300</xdr:colOff>
      <xdr:row>242</xdr:row>
      <xdr:rowOff>95250</xdr:rowOff>
    </xdr:from>
    <xdr:to>
      <xdr:col>2</xdr:col>
      <xdr:colOff>352425</xdr:colOff>
      <xdr:row>270</xdr:row>
      <xdr:rowOff>165718</xdr:rowOff>
    </xdr:to>
    <xdr:pic>
      <xdr:nvPicPr>
        <xdr:cNvPr id="7" name="Picture 6" descr="C:\Users\cenjcot\OneDrive - University of Leeds\1804 - GIZ Waste Flow Diagram\Decision Trees\Disposal Decision Tree Split.png">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101965125"/>
          <a:ext cx="5153025" cy="5671168"/>
        </a:xfrm>
        <a:prstGeom prst="rect">
          <a:avLst/>
        </a:prstGeom>
        <a:noFill/>
        <a:ln>
          <a:noFill/>
        </a:ln>
      </xdr:spPr>
    </xdr:pic>
    <xdr:clientData/>
  </xdr:twoCellAnchor>
  <xdr:twoCellAnchor editAs="oneCell">
    <xdr:from>
      <xdr:col>0</xdr:col>
      <xdr:colOff>47625</xdr:colOff>
      <xdr:row>329</xdr:row>
      <xdr:rowOff>95250</xdr:rowOff>
    </xdr:from>
    <xdr:to>
      <xdr:col>2</xdr:col>
      <xdr:colOff>523875</xdr:colOff>
      <xdr:row>342</xdr:row>
      <xdr:rowOff>2353</xdr:rowOff>
    </xdr:to>
    <xdr:pic>
      <xdr:nvPicPr>
        <xdr:cNvPr id="8" name="Picture 7" descr="C:\Users\cenjcot\OneDrive - University of Leeds\1804 - GIZ Waste Flow Diagram\Decision Trees\Drain Retention.png">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625" y="126749175"/>
          <a:ext cx="5391150" cy="2507428"/>
        </a:xfrm>
        <a:prstGeom prst="rect">
          <a:avLst/>
        </a:prstGeom>
        <a:noFill/>
        <a:ln>
          <a:noFill/>
        </a:ln>
      </xdr:spPr>
    </xdr:pic>
    <xdr:clientData/>
  </xdr:twoCellAnchor>
  <xdr:twoCellAnchor editAs="oneCell">
    <xdr:from>
      <xdr:col>0</xdr:col>
      <xdr:colOff>161925</xdr:colOff>
      <xdr:row>375</xdr:row>
      <xdr:rowOff>104776</xdr:rowOff>
    </xdr:from>
    <xdr:to>
      <xdr:col>2</xdr:col>
      <xdr:colOff>466725</xdr:colOff>
      <xdr:row>392</xdr:row>
      <xdr:rowOff>32445</xdr:rowOff>
    </xdr:to>
    <xdr:pic>
      <xdr:nvPicPr>
        <xdr:cNvPr id="9" name="Picture 8" descr="C:\Users\cenjcot\OneDrive - University of Leeds\1804 - GIZ Waste Flow Diagram\Decision Trees\Diffuse Voluntary.png">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1925" y="140560426"/>
          <a:ext cx="5219700" cy="3328094"/>
        </a:xfrm>
        <a:prstGeom prst="rect">
          <a:avLst/>
        </a:prstGeom>
        <a:noFill/>
        <a:ln>
          <a:noFill/>
        </a:ln>
      </xdr:spPr>
    </xdr:pic>
    <xdr:clientData/>
  </xdr:twoCellAnchor>
  <xdr:twoCellAnchor editAs="oneCell">
    <xdr:from>
      <xdr:col>0</xdr:col>
      <xdr:colOff>114300</xdr:colOff>
      <xdr:row>463</xdr:row>
      <xdr:rowOff>133350</xdr:rowOff>
    </xdr:from>
    <xdr:to>
      <xdr:col>2</xdr:col>
      <xdr:colOff>438150</xdr:colOff>
      <xdr:row>477</xdr:row>
      <xdr:rowOff>114889</xdr:rowOff>
    </xdr:to>
    <xdr:pic>
      <xdr:nvPicPr>
        <xdr:cNvPr id="10" name="Picture 9" descr="C:\Users\cenjcot\OneDrive - University of Leeds\1804 - GIZ Waste Flow Diagram\Decision Trees\Diffuse Involuntary.png">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4300" y="169373550"/>
          <a:ext cx="5238750" cy="2781889"/>
        </a:xfrm>
        <a:prstGeom prst="rect">
          <a:avLst/>
        </a:prstGeom>
        <a:noFill/>
        <a:ln>
          <a:noFill/>
        </a:ln>
      </xdr:spPr>
    </xdr:pic>
    <xdr:clientData/>
  </xdr:twoCellAnchor>
  <xdr:twoCellAnchor editAs="oneCell">
    <xdr:from>
      <xdr:col>0</xdr:col>
      <xdr:colOff>142875</xdr:colOff>
      <xdr:row>536</xdr:row>
      <xdr:rowOff>85725</xdr:rowOff>
    </xdr:from>
    <xdr:to>
      <xdr:col>2</xdr:col>
      <xdr:colOff>495300</xdr:colOff>
      <xdr:row>553</xdr:row>
      <xdr:rowOff>43759</xdr:rowOff>
    </xdr:to>
    <xdr:pic>
      <xdr:nvPicPr>
        <xdr:cNvPr id="11" name="Picture 10" descr="C:\Users\cenjcot\OneDrive - University of Leeds\1804 - GIZ Waste Flow Diagram\Decision Trees\Point Source Voluntary.png">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2875" y="193776600"/>
          <a:ext cx="5267325" cy="3358459"/>
        </a:xfrm>
        <a:prstGeom prst="rect">
          <a:avLst/>
        </a:prstGeom>
        <a:noFill/>
        <a:ln>
          <a:noFill/>
        </a:ln>
      </xdr:spPr>
    </xdr:pic>
    <xdr:clientData/>
  </xdr:twoCellAnchor>
  <xdr:twoCellAnchor editAs="oneCell">
    <xdr:from>
      <xdr:col>0</xdr:col>
      <xdr:colOff>171450</xdr:colOff>
      <xdr:row>624</xdr:row>
      <xdr:rowOff>47625</xdr:rowOff>
    </xdr:from>
    <xdr:to>
      <xdr:col>2</xdr:col>
      <xdr:colOff>457200</xdr:colOff>
      <xdr:row>638</xdr:row>
      <xdr:rowOff>8932</xdr:rowOff>
    </xdr:to>
    <xdr:pic>
      <xdr:nvPicPr>
        <xdr:cNvPr id="12" name="Picture 11" descr="C:\Users\cenjcot\OneDrive - University of Leeds\1804 - GIZ Waste Flow Diagram\Decision Trees\Point Source Involuntary.png">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1450" y="221551500"/>
          <a:ext cx="5200650" cy="2761657"/>
        </a:xfrm>
        <a:prstGeom prst="rect">
          <a:avLst/>
        </a:prstGeom>
        <a:noFill/>
        <a:ln>
          <a:noFill/>
        </a:ln>
      </xdr:spPr>
    </xdr:pic>
    <xdr:clientData/>
  </xdr:twoCellAnchor>
  <xdr:twoCellAnchor editAs="oneCell">
    <xdr:from>
      <xdr:col>0</xdr:col>
      <xdr:colOff>59707</xdr:colOff>
      <xdr:row>697</xdr:row>
      <xdr:rowOff>159098</xdr:rowOff>
    </xdr:from>
    <xdr:to>
      <xdr:col>7</xdr:col>
      <xdr:colOff>360669</xdr:colOff>
      <xdr:row>720</xdr:row>
      <xdr:rowOff>83313</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rotWithShape="1">
        <a:blip xmlns:r="http://schemas.openxmlformats.org/officeDocument/2006/relationships" r:embed="rId10"/>
        <a:srcRect l="9928" t="19937" r="11080" b="7266"/>
        <a:stretch/>
      </xdr:blipFill>
      <xdr:spPr>
        <a:xfrm>
          <a:off x="59707" y="248907274"/>
          <a:ext cx="8660550" cy="4563451"/>
        </a:xfrm>
        <a:prstGeom prst="rect">
          <a:avLst/>
        </a:prstGeom>
      </xdr:spPr>
    </xdr:pic>
    <xdr:clientData/>
  </xdr:twoCellAnchor>
  <xdr:twoCellAnchor editAs="oneCell">
    <xdr:from>
      <xdr:col>0</xdr:col>
      <xdr:colOff>223631</xdr:colOff>
      <xdr:row>691</xdr:row>
      <xdr:rowOff>198783</xdr:rowOff>
    </xdr:from>
    <xdr:to>
      <xdr:col>2</xdr:col>
      <xdr:colOff>48041</xdr:colOff>
      <xdr:row>692</xdr:row>
      <xdr:rowOff>117198</xdr:rowOff>
    </xdr:to>
    <xdr:pic>
      <xdr:nvPicPr>
        <xdr:cNvPr id="15" name="Picture 34838">
          <a:extLst>
            <a:ext uri="{FF2B5EF4-FFF2-40B4-BE49-F238E27FC236}">
              <a16:creationId xmlns:a16="http://schemas.microsoft.com/office/drawing/2014/main" id="{00000000-0008-0000-0600-00000F000000}"/>
            </a:ext>
          </a:extLst>
        </xdr:cNvPr>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223631" y="240502109"/>
          <a:ext cx="4735997" cy="33474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57150</xdr:colOff>
      <xdr:row>123</xdr:row>
      <xdr:rowOff>38101</xdr:rowOff>
    </xdr:from>
    <xdr:to>
      <xdr:col>3</xdr:col>
      <xdr:colOff>66675</xdr:colOff>
      <xdr:row>137</xdr:row>
      <xdr:rowOff>166869</xdr:rowOff>
    </xdr:to>
    <xdr:pic>
      <xdr:nvPicPr>
        <xdr:cNvPr id="18" name="Picture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2"/>
        <a:stretch>
          <a:fillRect/>
        </a:stretch>
      </xdr:blipFill>
      <xdr:spPr>
        <a:xfrm>
          <a:off x="57150" y="47863126"/>
          <a:ext cx="5629275" cy="2929118"/>
        </a:xfrm>
        <a:prstGeom prst="rect">
          <a:avLst/>
        </a:prstGeom>
      </xdr:spPr>
    </xdr:pic>
    <xdr:clientData/>
  </xdr:twoCellAnchor>
  <xdr:twoCellAnchor editAs="oneCell">
    <xdr:from>
      <xdr:col>0</xdr:col>
      <xdr:colOff>85725</xdr:colOff>
      <xdr:row>161</xdr:row>
      <xdr:rowOff>180975</xdr:rowOff>
    </xdr:from>
    <xdr:to>
      <xdr:col>2</xdr:col>
      <xdr:colOff>590550</xdr:colOff>
      <xdr:row>176</xdr:row>
      <xdr:rowOff>681</xdr:rowOff>
    </xdr:to>
    <xdr:pic>
      <xdr:nvPicPr>
        <xdr:cNvPr id="19" name="Picture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3"/>
        <a:stretch>
          <a:fillRect/>
        </a:stretch>
      </xdr:blipFill>
      <xdr:spPr>
        <a:xfrm>
          <a:off x="85725" y="60874275"/>
          <a:ext cx="5419725" cy="28200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Uncertainty_Factors_Table" displayName="Uncertainty_Factors_Table" ref="U2:V5" totalsRowShown="0" headerRowDxfId="33" dataDxfId="32" tableBorderDxfId="31">
  <autoFilter ref="U2:V5" xr:uid="{00000000-0009-0000-0100-000005000000}"/>
  <tableColumns count="2">
    <tableColumn id="1" xr3:uid="{00000000-0010-0000-0000-000001000000}" name="Name" dataDxfId="30"/>
    <tableColumn id="2" xr3:uid="{00000000-0010-0000-0000-000002000000}" name="Value" dataDxfId="29"/>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Dropdown_Options_Table" displayName="Dropdown_Options_Table" ref="R2:S40" totalsRowShown="0" headerRowDxfId="28" dataDxfId="27">
  <autoFilter ref="R2:S40" xr:uid="{00000000-0009-0000-0100-000008000000}"/>
  <tableColumns count="2">
    <tableColumn id="1" xr3:uid="{00000000-0010-0000-0100-000001000000}" name="Name" dataDxfId="26"/>
    <tableColumn id="2" xr3:uid="{00000000-0010-0000-0100-000002000000}" name="Value" dataDxfId="2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Fates_Table" displayName="Fates_Table" ref="I2:P86" totalsRowShown="0" headerRowDxfId="24" dataDxfId="23">
  <autoFilter ref="I2:P86" xr:uid="{00000000-0009-0000-0100-00000A000000}"/>
  <tableColumns count="8">
    <tableColumn id="8" xr3:uid="{00000000-0010-0000-0200-000008000000}" name="Type" dataDxfId="22"/>
    <tableColumn id="9" xr3:uid="{00000000-0010-0000-0200-000009000000}" name="Source(s)" dataDxfId="21"/>
    <tableColumn id="2" xr3:uid="{00000000-0010-0000-0200-000002000000}" name="ID1" dataDxfId="20"/>
    <tableColumn id="3" xr3:uid="{00000000-0010-0000-0200-000003000000}" name="Fate" dataDxfId="19"/>
    <tableColumn id="4" xr3:uid="{00000000-0010-0000-0200-000004000000}" name="ID2" dataDxfId="18"/>
    <tableColumn id="5" xr3:uid="{00000000-0010-0000-0200-000005000000}" name="Score" dataDxfId="17"/>
    <tableColumn id="6" xr3:uid="{00000000-0010-0000-0200-000006000000}" name="ID3" dataDxfId="16">
      <calculatedColumnFormula>Fates_Table[[#This Row],[ID2]]&amp;"_"&amp;Fates_Table[[#This Row],[Score]]</calculatedColumnFormula>
    </tableColumn>
    <tableColumn id="7" xr3:uid="{00000000-0010-0000-0200-000007000000}" name="Value" dataDxfId="15"/>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Results_options_table" displayName="Results_options_table" ref="X2:Y9" totalsRowShown="0" headerRowDxfId="14" dataDxfId="13" tableBorderDxfId="12">
  <autoFilter ref="X2:Y9" xr:uid="{00000000-0009-0000-0100-000001000000}"/>
  <tableColumns count="2">
    <tableColumn id="1" xr3:uid="{00000000-0010-0000-0300-000001000000}" name="Scenario" dataDxfId="11"/>
    <tableColumn id="2" xr3:uid="{00000000-0010-0000-0300-000002000000}" name="Material" dataDxfId="10"/>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eductions_Table" displayName="Reductions_Table" ref="A2:G78" totalsRowShown="0" headerRowDxfId="9" dataDxfId="8" tableBorderDxfId="7">
  <autoFilter ref="A2:G78" xr:uid="{00000000-0009-0000-0100-000009000000}"/>
  <tableColumns count="7">
    <tableColumn id="1" xr3:uid="{00000000-0010-0000-0400-000001000000}" name="Name_1" dataDxfId="6"/>
    <tableColumn id="7" xr3:uid="{00000000-0010-0000-0400-000007000000}" name="ID1" dataDxfId="5"/>
    <tableColumn id="2" xr3:uid="{00000000-0010-0000-0400-000002000000}" name="Name_2" dataDxfId="4"/>
    <tableColumn id="6" xr3:uid="{00000000-0010-0000-0400-000006000000}" name="ID2" dataDxfId="3"/>
    <tableColumn id="3" xr3:uid="{00000000-0010-0000-0400-000003000000}" name="Score" dataDxfId="2"/>
    <tableColumn id="8" xr3:uid="{00000000-0010-0000-0400-000008000000}" name="ID3" dataDxfId="1">
      <calculatedColumnFormula>Reductions_Table[[#This Row],[ID2]]&amp;"_"&amp;Reductions_Table[[#This Row],[Score]]</calculatedColumnFormula>
    </tableColumn>
    <tableColumn id="4" xr3:uid="{00000000-0010-0000-0400-000004000000}" name="Value"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ppData/Local/AppData/AppData/Local/Microsoft/Windows/INetCache/Content.Outlook/4RCVMFQQ/www.coursera.org/learn/solid-waste-management" TargetMode="External"/><Relationship Id="rId7" Type="http://schemas.openxmlformats.org/officeDocument/2006/relationships/drawing" Target="../drawings/drawing1.xml"/><Relationship Id="rId2" Type="http://schemas.openxmlformats.org/officeDocument/2006/relationships/hyperlink" Target="http://plasticpollution.leeds.ac.uk/" TargetMode="External"/><Relationship Id="rId1" Type="http://schemas.openxmlformats.org/officeDocument/2006/relationships/hyperlink" Target="http://plasticpollution.leeds.ac.uk/" TargetMode="External"/><Relationship Id="rId6" Type="http://schemas.openxmlformats.org/officeDocument/2006/relationships/printerSettings" Target="../printerSettings/printerSettings1.bin"/><Relationship Id="rId5" Type="http://schemas.openxmlformats.org/officeDocument/2006/relationships/hyperlink" Target="http://plasticpollution.leeds.ac.uk/" TargetMode="External"/><Relationship Id="rId4" Type="http://schemas.openxmlformats.org/officeDocument/2006/relationships/hyperlink" Target="https://unhabitat.org/waste-wise-cities-campaig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ankeymatic.com/build"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3:A58"/>
  <sheetViews>
    <sheetView showGridLines="0" showRowColHeaders="0" topLeftCell="A37" zoomScale="70" zoomScaleNormal="70" workbookViewId="0"/>
  </sheetViews>
  <sheetFormatPr baseColWidth="10" defaultColWidth="9" defaultRowHeight="15.75" x14ac:dyDescent="0.25"/>
  <cols>
    <col min="1" max="1" width="88" customWidth="1"/>
  </cols>
  <sheetData>
    <row r="3" spans="1:1" ht="33.75" x14ac:dyDescent="0.5">
      <c r="A3" s="487" t="s">
        <v>604</v>
      </c>
    </row>
    <row r="6" spans="1:1" ht="342" customHeight="1" x14ac:dyDescent="0.25">
      <c r="A6" s="485" t="s">
        <v>613</v>
      </c>
    </row>
    <row r="7" spans="1:1" ht="226.5" customHeight="1" x14ac:dyDescent="0.25">
      <c r="A7" s="485" t="s">
        <v>608</v>
      </c>
    </row>
    <row r="8" spans="1:1" ht="222" customHeight="1" x14ac:dyDescent="0.25">
      <c r="A8" s="732" t="s">
        <v>612</v>
      </c>
    </row>
    <row r="9" spans="1:1" x14ac:dyDescent="0.25">
      <c r="A9" s="732"/>
    </row>
    <row r="10" spans="1:1" x14ac:dyDescent="0.25">
      <c r="A10" s="732"/>
    </row>
    <row r="11" spans="1:1" x14ac:dyDescent="0.25">
      <c r="A11" s="732"/>
    </row>
    <row r="12" spans="1:1" x14ac:dyDescent="0.25">
      <c r="A12" s="732"/>
    </row>
    <row r="14" spans="1:1" ht="39.75" customHeight="1" x14ac:dyDescent="0.25"/>
    <row r="15" spans="1:1" ht="15.75" customHeight="1" x14ac:dyDescent="0.25">
      <c r="A15" s="490"/>
    </row>
    <row r="16" spans="1:1" ht="15.75" customHeight="1" x14ac:dyDescent="0.25">
      <c r="A16" s="488" t="s">
        <v>605</v>
      </c>
    </row>
    <row r="17" spans="1:1" ht="63" x14ac:dyDescent="0.25">
      <c r="A17" s="485" t="s">
        <v>606</v>
      </c>
    </row>
    <row r="18" spans="1:1" x14ac:dyDescent="0.25">
      <c r="A18" s="568"/>
    </row>
    <row r="19" spans="1:1" x14ac:dyDescent="0.25">
      <c r="A19" s="492" t="s">
        <v>670</v>
      </c>
    </row>
    <row r="20" spans="1:1" x14ac:dyDescent="0.25">
      <c r="A20" s="585" t="s">
        <v>671</v>
      </c>
    </row>
    <row r="21" spans="1:1" ht="15.75" customHeight="1" x14ac:dyDescent="0.25">
      <c r="A21" s="490"/>
    </row>
    <row r="22" spans="1:1" ht="15.75" customHeight="1" x14ac:dyDescent="0.25">
      <c r="A22" s="1" t="s">
        <v>649</v>
      </c>
    </row>
    <row r="23" spans="1:1" ht="15.75" customHeight="1" x14ac:dyDescent="0.25">
      <c r="A23" t="s">
        <v>658</v>
      </c>
    </row>
    <row r="24" spans="1:1" ht="15.75" customHeight="1" x14ac:dyDescent="0.25">
      <c r="A24" s="548" t="s">
        <v>659</v>
      </c>
    </row>
    <row r="25" spans="1:1" ht="15.75" customHeight="1" x14ac:dyDescent="0.25">
      <c r="A25" t="s">
        <v>650</v>
      </c>
    </row>
    <row r="26" spans="1:1" ht="15.75" customHeight="1" x14ac:dyDescent="0.25">
      <c r="A26" s="548" t="s">
        <v>651</v>
      </c>
    </row>
    <row r="27" spans="1:1" ht="15.75" customHeight="1" x14ac:dyDescent="0.25">
      <c r="A27" t="s">
        <v>652</v>
      </c>
    </row>
    <row r="28" spans="1:1" ht="15.75" customHeight="1" x14ac:dyDescent="0.25">
      <c r="A28" s="548" t="s">
        <v>654</v>
      </c>
    </row>
    <row r="29" spans="1:1" ht="15.75" customHeight="1" x14ac:dyDescent="0.25">
      <c r="A29" s="549" t="s">
        <v>653</v>
      </c>
    </row>
    <row r="30" spans="1:1" ht="15.75" customHeight="1" x14ac:dyDescent="0.25">
      <c r="A30" s="548" t="s">
        <v>656</v>
      </c>
    </row>
    <row r="31" spans="1:1" ht="15.75" customHeight="1" x14ac:dyDescent="0.25">
      <c r="A31" t="s">
        <v>655</v>
      </c>
    </row>
    <row r="32" spans="1:1" ht="15.75" customHeight="1" x14ac:dyDescent="0.25">
      <c r="A32" s="491"/>
    </row>
    <row r="44" spans="1:1" x14ac:dyDescent="0.25">
      <c r="A44" s="492" t="s">
        <v>611</v>
      </c>
    </row>
    <row r="45" spans="1:1" ht="33.75" x14ac:dyDescent="0.25">
      <c r="A45" s="489" t="s">
        <v>609</v>
      </c>
    </row>
    <row r="46" spans="1:1" ht="18" x14ac:dyDescent="0.25">
      <c r="A46" s="486" t="s">
        <v>610</v>
      </c>
    </row>
    <row r="47" spans="1:1" ht="31.5" x14ac:dyDescent="0.25">
      <c r="A47" s="489" t="s">
        <v>607</v>
      </c>
    </row>
    <row r="48" spans="1:1" ht="33.75" x14ac:dyDescent="0.25">
      <c r="A48" s="490" t="s">
        <v>726</v>
      </c>
    </row>
    <row r="51" spans="1:1" x14ac:dyDescent="0.25">
      <c r="A51" s="1" t="s">
        <v>648</v>
      </c>
    </row>
    <row r="52" spans="1:1" x14ac:dyDescent="0.25">
      <c r="A52" s="547" t="s">
        <v>657</v>
      </c>
    </row>
    <row r="53" spans="1:1" x14ac:dyDescent="0.25">
      <c r="A53" s="547" t="s">
        <v>642</v>
      </c>
    </row>
    <row r="54" spans="1:1" x14ac:dyDescent="0.25">
      <c r="A54" s="547" t="s">
        <v>643</v>
      </c>
    </row>
    <row r="55" spans="1:1" x14ac:dyDescent="0.25">
      <c r="A55" s="547" t="s">
        <v>644</v>
      </c>
    </row>
    <row r="56" spans="1:1" x14ac:dyDescent="0.25">
      <c r="A56" s="547" t="s">
        <v>645</v>
      </c>
    </row>
    <row r="57" spans="1:1" x14ac:dyDescent="0.25">
      <c r="A57" s="547" t="s">
        <v>646</v>
      </c>
    </row>
    <row r="58" spans="1:1" x14ac:dyDescent="0.25">
      <c r="A58" s="547" t="s">
        <v>647</v>
      </c>
    </row>
  </sheetData>
  <sheetProtection algorithmName="SHA-512" hashValue="KwqziQ2a668C5N5bxApC8VzgrEDuPRFOxjoNMhAZoALkErI7LpOZxAmapDLCZTOYf3O3Jqs7qMXP5L5a+rMZUg==" saltValue="9Eu7yGlcE7OExwgERC1Ryw==" spinCount="100000" sheet="1" objects="1" scenarios="1"/>
  <mergeCells count="1">
    <mergeCell ref="A8:A12"/>
  </mergeCells>
  <hyperlinks>
    <hyperlink ref="A45" r:id="rId1" xr:uid="{00000000-0004-0000-0000-000000000000}"/>
    <hyperlink ref="A46" r:id="rId2" xr:uid="{00000000-0004-0000-0000-000001000000}"/>
    <hyperlink ref="A47" r:id="rId3" xr:uid="{00000000-0004-0000-0000-000002000000}"/>
    <hyperlink ref="A48" r:id="rId4" display="4 UNHabitat, undated. SDG 11.6.1. Municipal solid waste management in the World’s Cities. Methodology for City assessments. Step by step guide. https://unhabitat.org/waste-wise-cities-campaign" xr:uid="{00000000-0004-0000-0000-000003000000}"/>
    <hyperlink ref="A20" r:id="rId5" xr:uid="{00000000-0004-0000-0000-000004000000}"/>
  </hyperlinks>
  <pageMargins left="0.7" right="0.7" top="0.75" bottom="0.75" header="0.3" footer="0.3"/>
  <pageSetup paperSize="9" orientation="portrait" horizontalDpi="300"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F6663"/>
  </sheetPr>
  <dimension ref="A2:D9"/>
  <sheetViews>
    <sheetView showGridLines="0" showRowColHeaders="0" workbookViewId="0">
      <selection activeCell="B1" sqref="B1"/>
    </sheetView>
  </sheetViews>
  <sheetFormatPr baseColWidth="10" defaultColWidth="11" defaultRowHeight="15.75" x14ac:dyDescent="0.25"/>
  <cols>
    <col min="1" max="1" width="11" style="551"/>
    <col min="2" max="3" width="35.75" style="553" customWidth="1"/>
    <col min="4" max="4" width="49.75" style="553" customWidth="1"/>
    <col min="5" max="16384" width="11" style="551"/>
  </cols>
  <sheetData>
    <row r="2" spans="1:4" ht="23.25" x14ac:dyDescent="0.35">
      <c r="A2" s="552"/>
      <c r="B2" s="1020" t="s">
        <v>660</v>
      </c>
      <c r="C2" s="1021"/>
      <c r="D2" s="1022"/>
    </row>
    <row r="3" spans="1:4" s="552" customFormat="1" x14ac:dyDescent="0.25">
      <c r="A3" s="551"/>
      <c r="B3" s="554" t="s">
        <v>661</v>
      </c>
      <c r="C3" s="554" t="s">
        <v>13</v>
      </c>
      <c r="D3" s="554" t="s">
        <v>673</v>
      </c>
    </row>
    <row r="4" spans="1:4" ht="31.5" x14ac:dyDescent="0.25">
      <c r="B4" s="1019" t="s">
        <v>676</v>
      </c>
      <c r="C4" s="1019" t="s">
        <v>672</v>
      </c>
      <c r="D4" s="586" t="s">
        <v>674</v>
      </c>
    </row>
    <row r="5" spans="1:4" ht="31.5" x14ac:dyDescent="0.25">
      <c r="B5" s="1019"/>
      <c r="C5" s="1019"/>
      <c r="D5" s="586" t="s">
        <v>675</v>
      </c>
    </row>
    <row r="6" spans="1:4" ht="94.5" x14ac:dyDescent="0.25">
      <c r="B6" s="1019"/>
      <c r="C6" s="1019"/>
      <c r="D6" s="555" t="s">
        <v>679</v>
      </c>
    </row>
    <row r="7" spans="1:4" ht="31.5" x14ac:dyDescent="0.25">
      <c r="B7" s="1019" t="s">
        <v>677</v>
      </c>
      <c r="C7" s="1019" t="s">
        <v>678</v>
      </c>
      <c r="D7" s="586" t="s">
        <v>674</v>
      </c>
    </row>
    <row r="8" spans="1:4" ht="31.5" x14ac:dyDescent="0.25">
      <c r="B8" s="1019"/>
      <c r="C8" s="1019"/>
      <c r="D8" s="586" t="s">
        <v>680</v>
      </c>
    </row>
    <row r="9" spans="1:4" ht="126" x14ac:dyDescent="0.25">
      <c r="B9" s="555" t="s">
        <v>681</v>
      </c>
      <c r="C9" s="587" t="s">
        <v>682</v>
      </c>
      <c r="D9" s="586" t="s">
        <v>683</v>
      </c>
    </row>
  </sheetData>
  <sheetProtection algorithmName="SHA-512" hashValue="C2WxHx0DMz9ksgmTNIZ91/Dr1/6EkGLTi3tlX87+Tkef0cHVorDl4KLGHVTaXxJ/KwH5b9DRNbJzKRgdylgbiA==" saltValue="3M3gzrVPpVAtwNGu995sig==" spinCount="100000" sheet="1" objects="1" scenarios="1"/>
  <mergeCells count="5">
    <mergeCell ref="B4:B6"/>
    <mergeCell ref="C4:C6"/>
    <mergeCell ref="C7:C8"/>
    <mergeCell ref="B7:B8"/>
    <mergeCell ref="B2:D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I28"/>
  <sheetViews>
    <sheetView showGridLines="0" showRowColHeaders="0" zoomScaleNormal="100" workbookViewId="0">
      <selection activeCell="B1" sqref="B1"/>
    </sheetView>
  </sheetViews>
  <sheetFormatPr baseColWidth="10" defaultColWidth="9" defaultRowHeight="15.75" x14ac:dyDescent="0.25"/>
  <cols>
    <col min="1" max="1" width="1.75" customWidth="1"/>
    <col min="2" max="2" width="41" style="1" customWidth="1"/>
    <col min="3" max="3" width="37.5" customWidth="1"/>
  </cols>
  <sheetData>
    <row r="1" spans="2:9" ht="6" customHeight="1" x14ac:dyDescent="0.25"/>
    <row r="2" spans="2:9" x14ac:dyDescent="0.25">
      <c r="B2" s="734" t="s">
        <v>748</v>
      </c>
      <c r="C2" s="734"/>
      <c r="D2" s="724"/>
      <c r="E2" s="724"/>
      <c r="F2" s="724"/>
      <c r="G2" s="724"/>
      <c r="H2" s="724"/>
      <c r="I2" s="724"/>
    </row>
    <row r="3" spans="2:9" x14ac:dyDescent="0.25">
      <c r="B3" s="730" t="s">
        <v>731</v>
      </c>
      <c r="C3" s="728"/>
    </row>
    <row r="4" spans="2:9" x14ac:dyDescent="0.25">
      <c r="B4" s="730" t="s">
        <v>732</v>
      </c>
      <c r="C4" s="728"/>
    </row>
    <row r="5" spans="2:9" x14ac:dyDescent="0.25">
      <c r="B5" s="730" t="s">
        <v>740</v>
      </c>
      <c r="C5" s="728"/>
    </row>
    <row r="6" spans="2:9" x14ac:dyDescent="0.25">
      <c r="B6" s="730" t="s">
        <v>733</v>
      </c>
      <c r="C6" s="728"/>
    </row>
    <row r="7" spans="2:9" x14ac:dyDescent="0.25">
      <c r="B7" s="730" t="s">
        <v>738</v>
      </c>
      <c r="C7" s="728"/>
    </row>
    <row r="8" spans="2:9" x14ac:dyDescent="0.25">
      <c r="B8" s="730" t="s">
        <v>739</v>
      </c>
      <c r="C8" s="728"/>
    </row>
    <row r="9" spans="2:9" x14ac:dyDescent="0.25">
      <c r="B9" s="730" t="s">
        <v>735</v>
      </c>
      <c r="C9" s="728"/>
    </row>
    <row r="10" spans="2:9" x14ac:dyDescent="0.25">
      <c r="B10" s="730" t="s">
        <v>737</v>
      </c>
      <c r="C10" s="728"/>
    </row>
    <row r="11" spans="2:9" x14ac:dyDescent="0.25">
      <c r="B11" s="730" t="s">
        <v>734</v>
      </c>
      <c r="C11" s="728"/>
    </row>
    <row r="12" spans="2:9" x14ac:dyDescent="0.25">
      <c r="B12" s="730" t="s">
        <v>736</v>
      </c>
      <c r="C12" s="728"/>
    </row>
    <row r="13" spans="2:9" x14ac:dyDescent="0.25">
      <c r="B13" s="730" t="s">
        <v>741</v>
      </c>
      <c r="C13" s="728"/>
    </row>
    <row r="14" spans="2:9" x14ac:dyDescent="0.25">
      <c r="B14" s="730" t="s">
        <v>742</v>
      </c>
      <c r="C14" s="728"/>
    </row>
    <row r="15" spans="2:9" x14ac:dyDescent="0.25">
      <c r="B15" s="730" t="s">
        <v>743</v>
      </c>
      <c r="C15" s="728"/>
    </row>
    <row r="16" spans="2:9" x14ac:dyDescent="0.25">
      <c r="B16" s="730" t="s">
        <v>744</v>
      </c>
      <c r="C16" s="728"/>
    </row>
    <row r="17" spans="2:3" x14ac:dyDescent="0.25">
      <c r="B17" s="730" t="s">
        <v>745</v>
      </c>
      <c r="C17" s="728"/>
    </row>
    <row r="18" spans="2:3" x14ac:dyDescent="0.25">
      <c r="B18" s="730" t="s">
        <v>746</v>
      </c>
      <c r="C18" s="728"/>
    </row>
    <row r="19" spans="2:3" ht="172.5" customHeight="1" x14ac:dyDescent="0.25">
      <c r="B19" s="731" t="s">
        <v>747</v>
      </c>
      <c r="C19" s="729"/>
    </row>
    <row r="21" spans="2:3" ht="18.75" x14ac:dyDescent="0.3">
      <c r="B21" s="725" t="s">
        <v>749</v>
      </c>
    </row>
    <row r="22" spans="2:3" ht="134.25" customHeight="1" x14ac:dyDescent="0.25">
      <c r="B22" s="733" t="s">
        <v>754</v>
      </c>
      <c r="C22" s="733"/>
    </row>
    <row r="23" spans="2:3" ht="18.75" x14ac:dyDescent="0.3">
      <c r="B23" s="725" t="s">
        <v>751</v>
      </c>
    </row>
    <row r="24" spans="2:3" ht="78" customHeight="1" x14ac:dyDescent="0.25">
      <c r="B24" s="733" t="s">
        <v>750</v>
      </c>
      <c r="C24" s="735"/>
    </row>
    <row r="25" spans="2:3" ht="18.75" x14ac:dyDescent="0.3">
      <c r="B25" s="725" t="s">
        <v>755</v>
      </c>
    </row>
    <row r="26" spans="2:3" s="726" customFormat="1" ht="64.5" customHeight="1" x14ac:dyDescent="0.25">
      <c r="B26" s="733" t="s">
        <v>756</v>
      </c>
      <c r="C26" s="733"/>
    </row>
    <row r="27" spans="2:3" ht="18.75" x14ac:dyDescent="0.3">
      <c r="B27" s="725" t="s">
        <v>752</v>
      </c>
    </row>
    <row r="28" spans="2:3" ht="52.5" customHeight="1" x14ac:dyDescent="0.25">
      <c r="B28" s="736" t="s">
        <v>753</v>
      </c>
      <c r="C28" s="736"/>
    </row>
  </sheetData>
  <sheetProtection algorithmName="SHA-512" hashValue="OpU3wyxxvVRfjrR4oQhHh7eo9l3Y+uAitO0j8Mj8KwfQqOPMCurY24cgpyxsdELWYnReBVCQJZY/Zi32XsujQQ==" saltValue="WGynthijU0Pcs8b3sZmJFw==" spinCount="100000" sheet="1" objects="1" scenarios="1"/>
  <mergeCells count="5">
    <mergeCell ref="B22:C22"/>
    <mergeCell ref="B2:C2"/>
    <mergeCell ref="B24:C24"/>
    <mergeCell ref="B26:C26"/>
    <mergeCell ref="B28:C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Q161"/>
  <sheetViews>
    <sheetView showGridLines="0" showRowColHeaders="0" topLeftCell="A52" zoomScaleNormal="100" workbookViewId="0">
      <selection activeCell="C65" sqref="C65"/>
    </sheetView>
  </sheetViews>
  <sheetFormatPr baseColWidth="10" defaultColWidth="10.875" defaultRowHeight="15.75" x14ac:dyDescent="0.25"/>
  <cols>
    <col min="1" max="1" width="5.125" style="91" customWidth="1"/>
    <col min="2" max="2" width="20" style="92" customWidth="1"/>
    <col min="3" max="3" width="35.375" style="92" customWidth="1"/>
    <col min="4" max="4" width="15.625" style="93" customWidth="1"/>
    <col min="5" max="5" width="12.625" style="94" customWidth="1"/>
    <col min="6" max="6" width="18.5" style="94" bestFit="1" customWidth="1"/>
    <col min="7" max="7" width="46.625" style="92" customWidth="1"/>
    <col min="8" max="8" width="50.625" style="92" customWidth="1"/>
    <col min="9" max="9" width="17.75" style="95" bestFit="1" customWidth="1"/>
    <col min="10" max="16384" width="10.875" style="94"/>
  </cols>
  <sheetData>
    <row r="1" spans="1:10" ht="21" x14ac:dyDescent="0.25">
      <c r="A1" s="45" t="s">
        <v>0</v>
      </c>
      <c r="B1" s="26"/>
      <c r="C1" s="26"/>
      <c r="D1" s="27"/>
      <c r="E1" s="28"/>
      <c r="F1" s="28"/>
      <c r="G1" s="26"/>
      <c r="H1" s="26"/>
      <c r="I1" s="588"/>
    </row>
    <row r="2" spans="1:10" ht="21" x14ac:dyDescent="0.25">
      <c r="A2" s="45"/>
      <c r="B2" s="35" t="s">
        <v>1</v>
      </c>
      <c r="C2" s="26"/>
      <c r="D2" s="27"/>
      <c r="E2" s="589"/>
      <c r="F2" s="589"/>
      <c r="G2" s="26"/>
      <c r="H2" s="26"/>
      <c r="I2" s="588"/>
    </row>
    <row r="3" spans="1:10" ht="21" x14ac:dyDescent="0.25">
      <c r="A3" s="45"/>
      <c r="B3" s="382" t="s">
        <v>2</v>
      </c>
      <c r="C3" s="26"/>
      <c r="D3" s="27"/>
      <c r="E3" s="589"/>
      <c r="F3" s="589"/>
      <c r="G3" s="26"/>
      <c r="H3" s="26"/>
      <c r="I3" s="588"/>
    </row>
    <row r="4" spans="1:10" x14ac:dyDescent="0.25">
      <c r="A4" s="28"/>
      <c r="B4" s="383" t="s">
        <v>3</v>
      </c>
      <c r="C4" s="26"/>
      <c r="D4" s="27"/>
      <c r="E4" s="590"/>
      <c r="F4" s="590"/>
      <c r="G4" s="26"/>
      <c r="H4" s="26"/>
      <c r="I4" s="588"/>
    </row>
    <row r="5" spans="1:10" x14ac:dyDescent="0.25">
      <c r="A5" s="46"/>
      <c r="B5" s="38" t="s">
        <v>4</v>
      </c>
      <c r="C5" s="26"/>
      <c r="D5" s="27"/>
      <c r="E5" s="590"/>
      <c r="F5" s="590"/>
      <c r="G5" s="26"/>
      <c r="H5" s="26"/>
      <c r="I5" s="588"/>
    </row>
    <row r="6" spans="1:10" x14ac:dyDescent="0.25">
      <c r="A6" s="46"/>
      <c r="B6" s="39" t="s">
        <v>5</v>
      </c>
      <c r="C6" s="26"/>
      <c r="D6" s="27"/>
      <c r="E6" s="590"/>
      <c r="F6" s="590"/>
      <c r="G6" s="26"/>
      <c r="H6" s="26"/>
      <c r="I6" s="588"/>
    </row>
    <row r="7" spans="1:10" x14ac:dyDescent="0.25">
      <c r="A7" s="46"/>
      <c r="B7" s="437" t="s">
        <v>591</v>
      </c>
      <c r="C7" s="26"/>
      <c r="D7" s="27"/>
      <c r="E7" s="590"/>
      <c r="F7" s="590"/>
      <c r="G7" s="26"/>
      <c r="H7" s="26"/>
      <c r="I7" s="588"/>
    </row>
    <row r="8" spans="1:10" ht="15.75" customHeight="1" x14ac:dyDescent="0.25">
      <c r="A8" s="47"/>
      <c r="B8" s="26"/>
      <c r="C8" s="26"/>
      <c r="D8" s="27"/>
      <c r="E8" s="591"/>
      <c r="F8" s="591"/>
      <c r="G8" s="26"/>
      <c r="H8" s="26"/>
      <c r="I8" s="588"/>
    </row>
    <row r="9" spans="1:10" ht="15.75" customHeight="1" thickBot="1" x14ac:dyDescent="0.3">
      <c r="A9" s="25" t="s">
        <v>6</v>
      </c>
      <c r="B9" s="26"/>
      <c r="C9" s="26"/>
      <c r="D9" s="27"/>
      <c r="E9" s="28"/>
      <c r="F9" s="28"/>
      <c r="G9" s="27"/>
      <c r="H9" s="777" t="s">
        <v>7</v>
      </c>
      <c r="I9" s="777"/>
    </row>
    <row r="10" spans="1:10" x14ac:dyDescent="0.25">
      <c r="A10" s="29" t="s">
        <v>8</v>
      </c>
      <c r="B10" s="30"/>
      <c r="C10" s="30"/>
      <c r="D10" s="31"/>
      <c r="E10" s="32" t="s">
        <v>9</v>
      </c>
      <c r="F10" s="32"/>
      <c r="G10" s="30"/>
      <c r="H10" s="33"/>
      <c r="I10" s="34" t="s">
        <v>10</v>
      </c>
    </row>
    <row r="11" spans="1:10" x14ac:dyDescent="0.25">
      <c r="A11" s="48" t="s">
        <v>11</v>
      </c>
      <c r="B11" s="559" t="s">
        <v>12</v>
      </c>
      <c r="C11" s="49" t="s">
        <v>13</v>
      </c>
      <c r="D11" s="50" t="s">
        <v>14</v>
      </c>
      <c r="E11" s="51" t="s">
        <v>15</v>
      </c>
      <c r="F11" s="755" t="s">
        <v>16</v>
      </c>
      <c r="G11" s="756"/>
      <c r="H11" s="558" t="s">
        <v>17</v>
      </c>
      <c r="I11" s="52" t="s">
        <v>15</v>
      </c>
    </row>
    <row r="12" spans="1:10" ht="25.5" x14ac:dyDescent="0.25">
      <c r="A12" s="53">
        <v>1</v>
      </c>
      <c r="B12" s="562" t="s">
        <v>18</v>
      </c>
      <c r="C12" s="54" t="s">
        <v>19</v>
      </c>
      <c r="D12" s="55" t="s">
        <v>20</v>
      </c>
      <c r="E12" s="8"/>
      <c r="F12" s="793" t="s">
        <v>21</v>
      </c>
      <c r="G12" s="794"/>
      <c r="H12" s="40"/>
      <c r="I12" s="6"/>
      <c r="J12" s="96"/>
    </row>
    <row r="13" spans="1:10" ht="116.25" customHeight="1" x14ac:dyDescent="0.25">
      <c r="A13" s="56">
        <v>2</v>
      </c>
      <c r="B13" s="562" t="s">
        <v>23</v>
      </c>
      <c r="C13" s="54" t="s">
        <v>24</v>
      </c>
      <c r="D13" s="55" t="s">
        <v>25</v>
      </c>
      <c r="E13" s="9"/>
      <c r="F13" s="793" t="s">
        <v>337</v>
      </c>
      <c r="G13" s="794"/>
      <c r="H13" s="41"/>
      <c r="I13" s="6"/>
      <c r="J13" s="94" t="s">
        <v>27</v>
      </c>
    </row>
    <row r="14" spans="1:10" ht="27" customHeight="1" x14ac:dyDescent="0.25">
      <c r="A14" s="57">
        <v>3.1</v>
      </c>
      <c r="B14" s="786" t="s">
        <v>28</v>
      </c>
      <c r="C14" s="58" t="s">
        <v>29</v>
      </c>
      <c r="D14" s="59" t="s">
        <v>30</v>
      </c>
      <c r="E14" s="17"/>
      <c r="F14" s="765" t="s">
        <v>31</v>
      </c>
      <c r="G14" s="766"/>
      <c r="H14" s="42"/>
      <c r="I14" s="790"/>
    </row>
    <row r="15" spans="1:10" ht="27" customHeight="1" x14ac:dyDescent="0.25">
      <c r="A15" s="57">
        <v>3.2</v>
      </c>
      <c r="B15" s="786"/>
      <c r="C15" s="58" t="s">
        <v>32</v>
      </c>
      <c r="D15" s="59" t="s">
        <v>30</v>
      </c>
      <c r="E15" s="17"/>
      <c r="F15" s="767"/>
      <c r="G15" s="768"/>
      <c r="H15" s="43"/>
      <c r="I15" s="791"/>
    </row>
    <row r="16" spans="1:10" ht="27" customHeight="1" x14ac:dyDescent="0.25">
      <c r="A16" s="57">
        <v>3.3</v>
      </c>
      <c r="B16" s="786"/>
      <c r="C16" s="58" t="s">
        <v>33</v>
      </c>
      <c r="D16" s="59" t="s">
        <v>30</v>
      </c>
      <c r="E16" s="17"/>
      <c r="F16" s="767"/>
      <c r="G16" s="768"/>
      <c r="H16" s="43"/>
      <c r="I16" s="791"/>
    </row>
    <row r="17" spans="1:15" ht="27" customHeight="1" x14ac:dyDescent="0.25">
      <c r="A17" s="57">
        <v>3.4</v>
      </c>
      <c r="B17" s="786"/>
      <c r="C17" s="58" t="s">
        <v>34</v>
      </c>
      <c r="D17" s="59" t="s">
        <v>30</v>
      </c>
      <c r="E17" s="17"/>
      <c r="F17" s="767"/>
      <c r="G17" s="768"/>
      <c r="H17" s="43"/>
      <c r="I17" s="791"/>
    </row>
    <row r="18" spans="1:15" ht="27" customHeight="1" x14ac:dyDescent="0.25">
      <c r="A18" s="57">
        <v>3.5</v>
      </c>
      <c r="B18" s="786"/>
      <c r="C18" s="58" t="s">
        <v>35</v>
      </c>
      <c r="D18" s="59" t="s">
        <v>30</v>
      </c>
      <c r="E18" s="17"/>
      <c r="F18" s="767"/>
      <c r="G18" s="768"/>
      <c r="H18" s="43"/>
      <c r="I18" s="791"/>
    </row>
    <row r="19" spans="1:15" ht="27" customHeight="1" x14ac:dyDescent="0.25">
      <c r="A19" s="57">
        <v>3.6</v>
      </c>
      <c r="B19" s="786"/>
      <c r="C19" s="58" t="s">
        <v>36</v>
      </c>
      <c r="D19" s="59" t="s">
        <v>30</v>
      </c>
      <c r="E19" s="17"/>
      <c r="F19" s="769"/>
      <c r="G19" s="770"/>
      <c r="H19" s="44"/>
      <c r="I19" s="792"/>
    </row>
    <row r="20" spans="1:15" x14ac:dyDescent="0.25">
      <c r="A20" s="60" t="s">
        <v>37</v>
      </c>
      <c r="B20" s="786"/>
      <c r="C20" s="61" t="s">
        <v>38</v>
      </c>
      <c r="D20" s="62" t="s">
        <v>39</v>
      </c>
      <c r="E20" s="24">
        <f>SUM(E14:E19)</f>
        <v>0</v>
      </c>
      <c r="F20" s="749" t="s">
        <v>40</v>
      </c>
      <c r="G20" s="750"/>
      <c r="H20" s="23"/>
      <c r="I20" s="416"/>
    </row>
    <row r="21" spans="1:15" ht="18.75" x14ac:dyDescent="0.25">
      <c r="A21" s="63" t="s">
        <v>41</v>
      </c>
      <c r="B21" s="64"/>
      <c r="C21" s="64"/>
      <c r="D21" s="65"/>
      <c r="E21" s="66" t="s">
        <v>9</v>
      </c>
      <c r="F21" s="66"/>
      <c r="G21" s="65"/>
      <c r="H21" s="351"/>
      <c r="I21" s="417" t="s">
        <v>10</v>
      </c>
    </row>
    <row r="22" spans="1:15" x14ac:dyDescent="0.25">
      <c r="A22" s="48" t="s">
        <v>11</v>
      </c>
      <c r="B22" s="559" t="s">
        <v>12</v>
      </c>
      <c r="C22" s="49" t="s">
        <v>13</v>
      </c>
      <c r="D22" s="50" t="s">
        <v>14</v>
      </c>
      <c r="E22" s="51" t="s">
        <v>15</v>
      </c>
      <c r="F22" s="755" t="s">
        <v>16</v>
      </c>
      <c r="G22" s="756"/>
      <c r="H22" s="558" t="s">
        <v>17</v>
      </c>
      <c r="I22" s="67" t="s">
        <v>15</v>
      </c>
    </row>
    <row r="23" spans="1:15" ht="15.75" customHeight="1" x14ac:dyDescent="0.25">
      <c r="A23" s="68">
        <v>4.0999999999999996</v>
      </c>
      <c r="B23" s="787" t="s">
        <v>718</v>
      </c>
      <c r="C23" s="58" t="s">
        <v>29</v>
      </c>
      <c r="D23" s="780" t="s">
        <v>42</v>
      </c>
      <c r="E23" s="583"/>
      <c r="F23" s="771" t="s">
        <v>710</v>
      </c>
      <c r="G23" s="772"/>
      <c r="H23" s="86"/>
      <c r="I23" s="743"/>
      <c r="K23" s="97"/>
      <c r="L23" s="98"/>
    </row>
    <row r="24" spans="1:15" x14ac:dyDescent="0.25">
      <c r="A24" s="68">
        <v>4.2</v>
      </c>
      <c r="B24" s="788"/>
      <c r="C24" s="58" t="s">
        <v>32</v>
      </c>
      <c r="D24" s="781"/>
      <c r="E24" s="583"/>
      <c r="F24" s="773"/>
      <c r="G24" s="774"/>
      <c r="H24" s="87"/>
      <c r="I24" s="744"/>
      <c r="K24" s="97"/>
    </row>
    <row r="25" spans="1:15" x14ac:dyDescent="0.25">
      <c r="A25" s="68">
        <v>4.3</v>
      </c>
      <c r="B25" s="788"/>
      <c r="C25" s="58" t="s">
        <v>33</v>
      </c>
      <c r="D25" s="781"/>
      <c r="E25" s="583"/>
      <c r="F25" s="773"/>
      <c r="G25" s="774"/>
      <c r="H25" s="87"/>
      <c r="I25" s="744"/>
      <c r="K25" s="97"/>
    </row>
    <row r="26" spans="1:15" x14ac:dyDescent="0.25">
      <c r="A26" s="68">
        <v>4.4000000000000004</v>
      </c>
      <c r="B26" s="788"/>
      <c r="C26" s="58" t="s">
        <v>34</v>
      </c>
      <c r="D26" s="781"/>
      <c r="E26" s="583"/>
      <c r="F26" s="773"/>
      <c r="G26" s="774"/>
      <c r="H26" s="87"/>
      <c r="I26" s="744"/>
      <c r="K26" s="97"/>
    </row>
    <row r="27" spans="1:15" x14ac:dyDescent="0.25">
      <c r="A27" s="68">
        <v>4.5</v>
      </c>
      <c r="B27" s="788"/>
      <c r="C27" s="58" t="s">
        <v>35</v>
      </c>
      <c r="D27" s="781"/>
      <c r="E27" s="583"/>
      <c r="F27" s="773"/>
      <c r="G27" s="774"/>
      <c r="H27" s="87"/>
      <c r="I27" s="744"/>
      <c r="K27" s="97"/>
    </row>
    <row r="28" spans="1:15" x14ac:dyDescent="0.25">
      <c r="A28" s="68">
        <v>4.5999999999999996</v>
      </c>
      <c r="B28" s="789"/>
      <c r="C28" s="404" t="s">
        <v>36</v>
      </c>
      <c r="D28" s="782"/>
      <c r="E28" s="583"/>
      <c r="F28" s="775"/>
      <c r="G28" s="776"/>
      <c r="H28" s="88"/>
      <c r="I28" s="745"/>
      <c r="K28" s="97"/>
    </row>
    <row r="29" spans="1:15" ht="15.75" customHeight="1" x14ac:dyDescent="0.25">
      <c r="A29" s="68">
        <v>5.0999999999999996</v>
      </c>
      <c r="B29" s="772" t="s">
        <v>302</v>
      </c>
      <c r="C29" s="58" t="s">
        <v>29</v>
      </c>
      <c r="D29" s="780" t="s">
        <v>42</v>
      </c>
      <c r="E29" s="11"/>
      <c r="F29" s="771" t="s">
        <v>43</v>
      </c>
      <c r="G29" s="772"/>
      <c r="H29" s="86"/>
      <c r="I29" s="783"/>
      <c r="J29" s="99"/>
      <c r="K29" s="100"/>
      <c r="L29" s="100"/>
      <c r="M29" s="100"/>
      <c r="N29" s="100"/>
      <c r="O29" s="100"/>
    </row>
    <row r="30" spans="1:15" x14ac:dyDescent="0.25">
      <c r="A30" s="68">
        <v>5.2</v>
      </c>
      <c r="B30" s="774"/>
      <c r="C30" s="58" t="s">
        <v>32</v>
      </c>
      <c r="D30" s="781"/>
      <c r="E30" s="11"/>
      <c r="F30" s="773"/>
      <c r="G30" s="774"/>
      <c r="H30" s="87"/>
      <c r="I30" s="784"/>
      <c r="K30" s="100"/>
      <c r="L30" s="100"/>
      <c r="M30" s="100"/>
      <c r="N30" s="100"/>
      <c r="O30" s="100"/>
    </row>
    <row r="31" spans="1:15" x14ac:dyDescent="0.25">
      <c r="A31" s="68">
        <v>5.3</v>
      </c>
      <c r="B31" s="774"/>
      <c r="C31" s="58" t="s">
        <v>33</v>
      </c>
      <c r="D31" s="781"/>
      <c r="E31" s="11"/>
      <c r="F31" s="773"/>
      <c r="G31" s="774"/>
      <c r="H31" s="87"/>
      <c r="I31" s="784"/>
      <c r="K31" s="100"/>
      <c r="L31" s="100"/>
      <c r="M31" s="100"/>
      <c r="N31" s="100"/>
      <c r="O31" s="100"/>
    </row>
    <row r="32" spans="1:15" x14ac:dyDescent="0.25">
      <c r="A32" s="68">
        <v>5.4</v>
      </c>
      <c r="B32" s="774"/>
      <c r="C32" s="58" t="s">
        <v>34</v>
      </c>
      <c r="D32" s="781"/>
      <c r="E32" s="11"/>
      <c r="F32" s="773"/>
      <c r="G32" s="774"/>
      <c r="H32" s="87"/>
      <c r="I32" s="784"/>
      <c r="J32" s="101"/>
      <c r="K32" s="100"/>
      <c r="L32" s="100"/>
      <c r="M32" s="100"/>
      <c r="N32" s="100"/>
      <c r="O32" s="100"/>
    </row>
    <row r="33" spans="1:15" x14ac:dyDescent="0.25">
      <c r="A33" s="68">
        <v>5.5</v>
      </c>
      <c r="B33" s="774"/>
      <c r="C33" s="58" t="s">
        <v>35</v>
      </c>
      <c r="D33" s="781"/>
      <c r="E33" s="11"/>
      <c r="F33" s="773"/>
      <c r="G33" s="774"/>
      <c r="H33" s="87"/>
      <c r="I33" s="784"/>
      <c r="K33" s="100"/>
      <c r="L33" s="100"/>
      <c r="M33" s="100"/>
      <c r="N33" s="100"/>
      <c r="O33" s="100"/>
    </row>
    <row r="34" spans="1:15" x14ac:dyDescent="0.25">
      <c r="A34" s="68">
        <v>5.6</v>
      </c>
      <c r="B34" s="774"/>
      <c r="C34" s="404" t="s">
        <v>36</v>
      </c>
      <c r="D34" s="782"/>
      <c r="E34" s="11"/>
      <c r="F34" s="775"/>
      <c r="G34" s="776"/>
      <c r="H34" s="88"/>
      <c r="I34" s="785"/>
      <c r="K34" s="100"/>
      <c r="L34" s="100"/>
      <c r="M34" s="100"/>
      <c r="N34" s="100"/>
      <c r="O34" s="100"/>
    </row>
    <row r="35" spans="1:15" ht="15.75" customHeight="1" x14ac:dyDescent="0.25">
      <c r="A35" s="68">
        <v>6.1</v>
      </c>
      <c r="B35" s="787" t="s">
        <v>303</v>
      </c>
      <c r="C35" s="58" t="s">
        <v>29</v>
      </c>
      <c r="D35" s="780" t="s">
        <v>42</v>
      </c>
      <c r="E35" s="11"/>
      <c r="F35" s="765" t="s">
        <v>300</v>
      </c>
      <c r="G35" s="766"/>
      <c r="H35" s="42"/>
      <c r="I35" s="743"/>
      <c r="K35" s="100"/>
      <c r="L35" s="100"/>
      <c r="M35" s="100"/>
      <c r="N35" s="100"/>
      <c r="O35" s="100"/>
    </row>
    <row r="36" spans="1:15" x14ac:dyDescent="0.25">
      <c r="A36" s="68">
        <v>6.2</v>
      </c>
      <c r="B36" s="788"/>
      <c r="C36" s="58" t="s">
        <v>32</v>
      </c>
      <c r="D36" s="781"/>
      <c r="E36" s="11"/>
      <c r="F36" s="767"/>
      <c r="G36" s="768"/>
      <c r="H36" s="43"/>
      <c r="I36" s="744"/>
      <c r="K36" s="100"/>
      <c r="L36" s="100"/>
      <c r="M36" s="100"/>
      <c r="N36" s="100"/>
      <c r="O36" s="100"/>
    </row>
    <row r="37" spans="1:15" x14ac:dyDescent="0.25">
      <c r="A37" s="68">
        <v>6.3</v>
      </c>
      <c r="B37" s="788"/>
      <c r="C37" s="58" t="s">
        <v>33</v>
      </c>
      <c r="D37" s="781"/>
      <c r="E37" s="11"/>
      <c r="F37" s="767"/>
      <c r="G37" s="768"/>
      <c r="H37" s="43"/>
      <c r="I37" s="744"/>
      <c r="K37" s="102"/>
      <c r="L37" s="100"/>
      <c r="M37" s="100"/>
      <c r="N37" s="100"/>
      <c r="O37" s="100"/>
    </row>
    <row r="38" spans="1:15" x14ac:dyDescent="0.25">
      <c r="A38" s="68">
        <v>6.4</v>
      </c>
      <c r="B38" s="788"/>
      <c r="C38" s="58" t="s">
        <v>34</v>
      </c>
      <c r="D38" s="781"/>
      <c r="E38" s="11"/>
      <c r="F38" s="767"/>
      <c r="G38" s="768"/>
      <c r="H38" s="43"/>
      <c r="I38" s="744"/>
      <c r="K38" s="100"/>
      <c r="L38" s="100"/>
      <c r="M38" s="100"/>
      <c r="N38" s="100"/>
      <c r="O38" s="100"/>
    </row>
    <row r="39" spans="1:15" x14ac:dyDescent="0.25">
      <c r="A39" s="68">
        <v>6.5</v>
      </c>
      <c r="B39" s="788"/>
      <c r="C39" s="58" t="s">
        <v>35</v>
      </c>
      <c r="D39" s="781"/>
      <c r="E39" s="11"/>
      <c r="F39" s="767"/>
      <c r="G39" s="768"/>
      <c r="H39" s="43"/>
      <c r="I39" s="744"/>
      <c r="K39" s="100"/>
      <c r="L39" s="100"/>
      <c r="M39" s="100"/>
      <c r="N39" s="100"/>
      <c r="O39" s="100"/>
    </row>
    <row r="40" spans="1:15" x14ac:dyDescent="0.25">
      <c r="A40" s="68">
        <v>6.6</v>
      </c>
      <c r="B40" s="789"/>
      <c r="C40" s="404" t="s">
        <v>36</v>
      </c>
      <c r="D40" s="782"/>
      <c r="E40" s="11"/>
      <c r="F40" s="767"/>
      <c r="G40" s="768"/>
      <c r="H40" s="43"/>
      <c r="I40" s="745"/>
      <c r="K40" s="100"/>
      <c r="L40" s="100"/>
      <c r="M40" s="100"/>
      <c r="N40" s="100"/>
      <c r="O40" s="100"/>
    </row>
    <row r="41" spans="1:15" ht="15.75" customHeight="1" x14ac:dyDescent="0.25">
      <c r="A41" s="69">
        <v>7.1</v>
      </c>
      <c r="B41" s="787" t="s">
        <v>304</v>
      </c>
      <c r="C41" s="58" t="s">
        <v>29</v>
      </c>
      <c r="D41" s="780" t="s">
        <v>42</v>
      </c>
      <c r="E41" s="12"/>
      <c r="F41" s="767"/>
      <c r="G41" s="768"/>
      <c r="H41" s="43"/>
      <c r="I41" s="783"/>
      <c r="K41" s="100"/>
      <c r="L41" s="100"/>
      <c r="M41" s="100"/>
      <c r="N41" s="100"/>
      <c r="O41" s="100"/>
    </row>
    <row r="42" spans="1:15" x14ac:dyDescent="0.25">
      <c r="A42" s="69">
        <v>7.2</v>
      </c>
      <c r="B42" s="788"/>
      <c r="C42" s="58" t="s">
        <v>32</v>
      </c>
      <c r="D42" s="781"/>
      <c r="E42" s="12"/>
      <c r="F42" s="767"/>
      <c r="G42" s="768"/>
      <c r="H42" s="43"/>
      <c r="I42" s="784"/>
      <c r="K42" s="100"/>
      <c r="L42" s="100"/>
      <c r="M42" s="100"/>
      <c r="N42" s="100"/>
      <c r="O42" s="100"/>
    </row>
    <row r="43" spans="1:15" x14ac:dyDescent="0.25">
      <c r="A43" s="69">
        <v>7.3</v>
      </c>
      <c r="B43" s="788"/>
      <c r="C43" s="58" t="s">
        <v>33</v>
      </c>
      <c r="D43" s="781"/>
      <c r="E43" s="12"/>
      <c r="F43" s="767"/>
      <c r="G43" s="768"/>
      <c r="H43" s="43"/>
      <c r="I43" s="784"/>
      <c r="K43" s="100"/>
      <c r="L43" s="100"/>
      <c r="M43" s="100"/>
      <c r="N43" s="100"/>
      <c r="O43" s="100"/>
    </row>
    <row r="44" spans="1:15" x14ac:dyDescent="0.25">
      <c r="A44" s="69">
        <v>7.4</v>
      </c>
      <c r="B44" s="788"/>
      <c r="C44" s="58" t="s">
        <v>34</v>
      </c>
      <c r="D44" s="781"/>
      <c r="E44" s="12"/>
      <c r="F44" s="767"/>
      <c r="G44" s="768"/>
      <c r="H44" s="43"/>
      <c r="I44" s="784"/>
      <c r="K44" s="100"/>
      <c r="L44" s="100"/>
      <c r="M44" s="100"/>
      <c r="N44" s="100"/>
      <c r="O44" s="100"/>
    </row>
    <row r="45" spans="1:15" x14ac:dyDescent="0.25">
      <c r="A45" s="69">
        <v>7.5</v>
      </c>
      <c r="B45" s="788"/>
      <c r="C45" s="58" t="s">
        <v>35</v>
      </c>
      <c r="D45" s="781"/>
      <c r="E45" s="12"/>
      <c r="F45" s="767"/>
      <c r="G45" s="768"/>
      <c r="H45" s="43"/>
      <c r="I45" s="784"/>
    </row>
    <row r="46" spans="1:15" x14ac:dyDescent="0.25">
      <c r="A46" s="69">
        <v>7.6</v>
      </c>
      <c r="B46" s="789"/>
      <c r="C46" s="404" t="s">
        <v>36</v>
      </c>
      <c r="D46" s="782"/>
      <c r="E46" s="12"/>
      <c r="F46" s="769"/>
      <c r="G46" s="770"/>
      <c r="H46" s="44"/>
      <c r="I46" s="785"/>
    </row>
    <row r="47" spans="1:15" ht="25.5" x14ac:dyDescent="0.25">
      <c r="A47" s="69">
        <v>8.1</v>
      </c>
      <c r="B47" s="787" t="s">
        <v>45</v>
      </c>
      <c r="C47" s="404" t="s">
        <v>636</v>
      </c>
      <c r="D47" s="55" t="s">
        <v>46</v>
      </c>
      <c r="E47" s="384"/>
      <c r="F47" s="771" t="s">
        <v>637</v>
      </c>
      <c r="G47" s="772"/>
      <c r="H47" s="43"/>
      <c r="I47" s="783"/>
    </row>
    <row r="48" spans="1:15" ht="40.9" customHeight="1" x14ac:dyDescent="0.25">
      <c r="A48" s="69">
        <v>8.1999999999999993</v>
      </c>
      <c r="B48" s="789"/>
      <c r="C48" s="404" t="s">
        <v>634</v>
      </c>
      <c r="D48" s="560" t="s">
        <v>635</v>
      </c>
      <c r="E48" s="21"/>
      <c r="F48" s="771" t="s">
        <v>633</v>
      </c>
      <c r="G48" s="772"/>
      <c r="H48" s="43"/>
      <c r="I48" s="785"/>
    </row>
    <row r="49" spans="1:16" ht="18" customHeight="1" x14ac:dyDescent="0.25">
      <c r="A49" s="57" t="s">
        <v>37</v>
      </c>
      <c r="B49" s="803" t="s">
        <v>49</v>
      </c>
      <c r="C49" s="62" t="s">
        <v>29</v>
      </c>
      <c r="D49" s="806" t="s">
        <v>50</v>
      </c>
      <c r="E49" s="70" t="e">
        <f>SUM(E23,E29,E35,E41)/(((E$12*E$13)/1000)*E14)</f>
        <v>#DIV/0!</v>
      </c>
      <c r="F49" s="749" t="s">
        <v>51</v>
      </c>
      <c r="G49" s="750"/>
      <c r="H49" s="71"/>
      <c r="I49" s="809"/>
      <c r="K49" s="97"/>
    </row>
    <row r="50" spans="1:16" ht="18" customHeight="1" x14ac:dyDescent="0.25">
      <c r="A50" s="57" t="s">
        <v>37</v>
      </c>
      <c r="B50" s="804"/>
      <c r="C50" s="62" t="s">
        <v>32</v>
      </c>
      <c r="D50" s="807"/>
      <c r="E50" s="70" t="e">
        <f t="shared" ref="E50:E54" si="0">SUM(E24,E30,E36,E42)/(((E$12*E$13)/1000)*E15)</f>
        <v>#DIV/0!</v>
      </c>
      <c r="F50" s="749" t="s">
        <v>51</v>
      </c>
      <c r="G50" s="750"/>
      <c r="H50" s="72"/>
      <c r="I50" s="810"/>
    </row>
    <row r="51" spans="1:16" ht="18" customHeight="1" x14ac:dyDescent="0.25">
      <c r="A51" s="57" t="s">
        <v>37</v>
      </c>
      <c r="B51" s="804"/>
      <c r="C51" s="62" t="s">
        <v>33</v>
      </c>
      <c r="D51" s="807"/>
      <c r="E51" s="70" t="e">
        <f t="shared" si="0"/>
        <v>#DIV/0!</v>
      </c>
      <c r="F51" s="749" t="s">
        <v>51</v>
      </c>
      <c r="G51" s="750"/>
      <c r="H51" s="72"/>
      <c r="I51" s="810"/>
    </row>
    <row r="52" spans="1:16" ht="18" customHeight="1" x14ac:dyDescent="0.25">
      <c r="A52" s="57" t="s">
        <v>37</v>
      </c>
      <c r="B52" s="804"/>
      <c r="C52" s="62" t="s">
        <v>34</v>
      </c>
      <c r="D52" s="807"/>
      <c r="E52" s="70" t="e">
        <f>SUM(E26,E32,E38,E44)/(((E$12*E$13)/1000)*E17)</f>
        <v>#DIV/0!</v>
      </c>
      <c r="F52" s="749" t="s">
        <v>51</v>
      </c>
      <c r="G52" s="750"/>
      <c r="H52" s="72"/>
      <c r="I52" s="810"/>
    </row>
    <row r="53" spans="1:16" ht="18" customHeight="1" x14ac:dyDescent="0.25">
      <c r="A53" s="57" t="s">
        <v>37</v>
      </c>
      <c r="B53" s="804"/>
      <c r="C53" s="62" t="s">
        <v>35</v>
      </c>
      <c r="D53" s="807"/>
      <c r="E53" s="70" t="e">
        <f t="shared" si="0"/>
        <v>#DIV/0!</v>
      </c>
      <c r="F53" s="749" t="s">
        <v>51</v>
      </c>
      <c r="G53" s="750"/>
      <c r="H53" s="72"/>
      <c r="I53" s="810"/>
    </row>
    <row r="54" spans="1:16" ht="18" customHeight="1" x14ac:dyDescent="0.25">
      <c r="A54" s="57" t="s">
        <v>37</v>
      </c>
      <c r="B54" s="805"/>
      <c r="C54" s="62" t="s">
        <v>36</v>
      </c>
      <c r="D54" s="808"/>
      <c r="E54" s="70" t="e">
        <f t="shared" si="0"/>
        <v>#DIV/0!</v>
      </c>
      <c r="F54" s="749" t="s">
        <v>51</v>
      </c>
      <c r="G54" s="750"/>
      <c r="H54" s="73"/>
      <c r="I54" s="811"/>
    </row>
    <row r="55" spans="1:16" ht="25.5" x14ac:dyDescent="0.25">
      <c r="A55" s="74" t="s">
        <v>37</v>
      </c>
      <c r="B55" s="801" t="s">
        <v>52</v>
      </c>
      <c r="C55" s="802"/>
      <c r="D55" s="62" t="s">
        <v>53</v>
      </c>
      <c r="E55" s="75" t="e">
        <f>SUM(E$23:E$46)/((E$12*E$13)/1000)</f>
        <v>#DIV/0!</v>
      </c>
      <c r="F55" s="749" t="s">
        <v>54</v>
      </c>
      <c r="G55" s="750"/>
      <c r="H55" s="557"/>
      <c r="I55" s="76"/>
      <c r="J55" s="103"/>
    </row>
    <row r="56" spans="1:16" ht="25.5" x14ac:dyDescent="0.25">
      <c r="A56" s="74" t="s">
        <v>37</v>
      </c>
      <c r="B56" s="812" t="s">
        <v>55</v>
      </c>
      <c r="C56" s="802"/>
      <c r="D56" s="62" t="s">
        <v>53</v>
      </c>
      <c r="E56" s="75" t="e">
        <f>(((E$12*E$13)/1000)-SUM(E$23:E$46))/((E$12*E$13)/1000)</f>
        <v>#DIV/0!</v>
      </c>
      <c r="F56" s="749" t="s">
        <v>56</v>
      </c>
      <c r="G56" s="750"/>
      <c r="H56" s="557"/>
      <c r="I56" s="76"/>
      <c r="J56" s="103"/>
    </row>
    <row r="57" spans="1:16" ht="18.75" x14ac:dyDescent="0.25">
      <c r="A57" s="63" t="s">
        <v>299</v>
      </c>
      <c r="B57" s="388"/>
      <c r="C57" s="389"/>
      <c r="D57" s="351"/>
      <c r="E57" s="352" t="s">
        <v>9</v>
      </c>
      <c r="F57" s="352"/>
      <c r="G57" s="351"/>
      <c r="H57" s="351"/>
      <c r="I57" s="417" t="s">
        <v>10</v>
      </c>
      <c r="K57" s="799"/>
      <c r="L57" s="799"/>
      <c r="M57" s="799"/>
      <c r="N57" s="799"/>
      <c r="O57" s="799"/>
      <c r="P57" s="104"/>
    </row>
    <row r="58" spans="1:16" x14ac:dyDescent="0.25">
      <c r="A58" s="48" t="s">
        <v>11</v>
      </c>
      <c r="B58" s="559" t="s">
        <v>12</v>
      </c>
      <c r="C58" s="49" t="s">
        <v>13</v>
      </c>
      <c r="D58" s="78" t="s">
        <v>14</v>
      </c>
      <c r="E58" s="79" t="s">
        <v>15</v>
      </c>
      <c r="F58" s="755" t="s">
        <v>16</v>
      </c>
      <c r="G58" s="756"/>
      <c r="H58" s="558" t="s">
        <v>17</v>
      </c>
      <c r="I58" s="67" t="s">
        <v>15</v>
      </c>
      <c r="K58" s="105"/>
      <c r="L58" s="411"/>
      <c r="M58" s="411"/>
      <c r="N58" s="411"/>
      <c r="O58" s="411"/>
      <c r="P58" s="104"/>
    </row>
    <row r="59" spans="1:16" ht="38.25" customHeight="1" x14ac:dyDescent="0.25">
      <c r="A59" s="56">
        <v>9.1</v>
      </c>
      <c r="B59" s="813" t="s">
        <v>57</v>
      </c>
      <c r="C59" s="58" t="s">
        <v>306</v>
      </c>
      <c r="D59" s="80" t="s">
        <v>305</v>
      </c>
      <c r="E59" s="10"/>
      <c r="F59" s="757" t="s">
        <v>668</v>
      </c>
      <c r="G59" s="758"/>
      <c r="H59" s="90"/>
      <c r="I59" s="6" t="s">
        <v>22</v>
      </c>
      <c r="J59" s="106"/>
      <c r="K59" s="4"/>
      <c r="L59" s="411"/>
      <c r="M59" s="411"/>
      <c r="N59" s="411"/>
      <c r="O59" s="411"/>
      <c r="P59" s="104"/>
    </row>
    <row r="60" spans="1:16" ht="25.5" x14ac:dyDescent="0.25">
      <c r="A60" s="56">
        <v>9.1999999999999993</v>
      </c>
      <c r="B60" s="814"/>
      <c r="C60" s="58" t="s">
        <v>307</v>
      </c>
      <c r="D60" s="80" t="s">
        <v>308</v>
      </c>
      <c r="E60" s="10"/>
      <c r="F60" s="759"/>
      <c r="G60" s="760"/>
      <c r="H60" s="90"/>
      <c r="I60" s="6" t="s">
        <v>22</v>
      </c>
      <c r="J60" s="106"/>
      <c r="K60" s="5"/>
      <c r="L60" s="411"/>
      <c r="M60" s="107"/>
      <c r="N60" s="411"/>
      <c r="O60" s="411"/>
      <c r="P60" s="104"/>
    </row>
    <row r="61" spans="1:16" ht="36.75" customHeight="1" x14ac:dyDescent="0.25">
      <c r="A61" s="56">
        <v>9.3000000000000007</v>
      </c>
      <c r="B61" s="815"/>
      <c r="C61" s="54" t="s">
        <v>717</v>
      </c>
      <c r="D61" s="59" t="s">
        <v>58</v>
      </c>
      <c r="E61" s="89"/>
      <c r="F61" s="761"/>
      <c r="G61" s="762"/>
      <c r="H61" s="90"/>
      <c r="I61" s="6" t="s">
        <v>22</v>
      </c>
      <c r="J61" s="106"/>
      <c r="K61" s="4"/>
      <c r="L61" s="411"/>
      <c r="M61" s="107"/>
      <c r="N61" s="411"/>
      <c r="O61" s="411"/>
      <c r="P61" s="104"/>
    </row>
    <row r="62" spans="1:16" ht="18.75" x14ac:dyDescent="0.25">
      <c r="A62" s="63" t="s">
        <v>298</v>
      </c>
      <c r="B62" s="81"/>
      <c r="C62" s="81"/>
      <c r="D62" s="82"/>
      <c r="E62" s="352" t="s">
        <v>9</v>
      </c>
      <c r="F62" s="352"/>
      <c r="G62" s="351"/>
      <c r="H62" s="351"/>
      <c r="I62" s="417" t="s">
        <v>10</v>
      </c>
      <c r="J62" s="106"/>
      <c r="K62" s="108"/>
      <c r="L62" s="109"/>
      <c r="M62" s="108"/>
      <c r="N62" s="108"/>
      <c r="O62" s="108"/>
      <c r="P62" s="104"/>
    </row>
    <row r="63" spans="1:16" ht="17.25" customHeight="1" x14ac:dyDescent="0.25">
      <c r="A63" s="48" t="s">
        <v>11</v>
      </c>
      <c r="B63" s="559" t="s">
        <v>12</v>
      </c>
      <c r="C63" s="49" t="s">
        <v>59</v>
      </c>
      <c r="D63" s="50" t="s">
        <v>14</v>
      </c>
      <c r="E63" s="51" t="s">
        <v>15</v>
      </c>
      <c r="F63" s="755" t="s">
        <v>16</v>
      </c>
      <c r="G63" s="756"/>
      <c r="H63" s="558" t="s">
        <v>17</v>
      </c>
      <c r="I63" s="67" t="s">
        <v>15</v>
      </c>
      <c r="J63" s="110"/>
      <c r="K63" s="111"/>
      <c r="M63" s="112"/>
      <c r="N63" s="112"/>
      <c r="O63" s="112"/>
      <c r="P63" s="113"/>
    </row>
    <row r="64" spans="1:16" ht="17.25" customHeight="1" x14ac:dyDescent="0.25">
      <c r="A64" s="56">
        <v>10.1</v>
      </c>
      <c r="B64" s="778" t="s">
        <v>60</v>
      </c>
      <c r="C64" s="685" t="s">
        <v>61</v>
      </c>
      <c r="D64" s="84" t="s">
        <v>46</v>
      </c>
      <c r="E64" s="14"/>
      <c r="F64" s="751" t="s">
        <v>600</v>
      </c>
      <c r="G64" s="752"/>
      <c r="H64" s="86"/>
      <c r="I64" s="743" t="s">
        <v>22</v>
      </c>
      <c r="J64" s="110"/>
      <c r="K64" s="111"/>
      <c r="M64" s="112"/>
      <c r="N64" s="112"/>
      <c r="O64" s="112"/>
      <c r="P64" s="113"/>
    </row>
    <row r="65" spans="1:16" ht="17.25" customHeight="1" x14ac:dyDescent="0.25">
      <c r="A65" s="68">
        <v>10.199999999999999</v>
      </c>
      <c r="B65" s="779"/>
      <c r="C65" s="685" t="s">
        <v>63</v>
      </c>
      <c r="D65" s="84" t="s">
        <v>46</v>
      </c>
      <c r="E65" s="14"/>
      <c r="F65" s="753"/>
      <c r="G65" s="754"/>
      <c r="H65" s="87"/>
      <c r="I65" s="744"/>
      <c r="J65" s="110"/>
      <c r="K65" s="111"/>
      <c r="M65" s="112"/>
      <c r="N65" s="112"/>
      <c r="O65" s="112"/>
      <c r="P65" s="113"/>
    </row>
    <row r="66" spans="1:16" ht="17.25" customHeight="1" x14ac:dyDescent="0.25">
      <c r="A66" s="68">
        <v>10.3</v>
      </c>
      <c r="B66" s="779"/>
      <c r="C66" s="685" t="s">
        <v>64</v>
      </c>
      <c r="D66" s="84" t="s">
        <v>46</v>
      </c>
      <c r="E66" s="14"/>
      <c r="F66" s="753"/>
      <c r="G66" s="754"/>
      <c r="H66" s="87"/>
      <c r="I66" s="744"/>
      <c r="J66" s="110"/>
      <c r="K66" s="111"/>
      <c r="M66" s="112"/>
      <c r="N66" s="112"/>
      <c r="O66" s="112"/>
      <c r="P66" s="113"/>
    </row>
    <row r="67" spans="1:16" x14ac:dyDescent="0.25">
      <c r="A67" s="68">
        <v>10.4</v>
      </c>
      <c r="B67" s="800"/>
      <c r="C67" s="685" t="s">
        <v>65</v>
      </c>
      <c r="D67" s="84" t="s">
        <v>46</v>
      </c>
      <c r="E67" s="14"/>
      <c r="F67" s="763"/>
      <c r="G67" s="764"/>
      <c r="H67" s="88"/>
      <c r="I67" s="745"/>
      <c r="J67" s="110"/>
      <c r="K67" s="111"/>
      <c r="M67" s="112"/>
      <c r="N67" s="112"/>
      <c r="O67" s="112"/>
      <c r="P67" s="113"/>
    </row>
    <row r="68" spans="1:16" ht="20.25" customHeight="1" x14ac:dyDescent="0.25">
      <c r="A68" s="68">
        <v>11.1</v>
      </c>
      <c r="B68" s="778" t="s">
        <v>66</v>
      </c>
      <c r="C68" s="685" t="s">
        <v>371</v>
      </c>
      <c r="D68" s="84" t="s">
        <v>46</v>
      </c>
      <c r="E68" s="14"/>
      <c r="F68" s="751" t="s">
        <v>592</v>
      </c>
      <c r="G68" s="752"/>
      <c r="H68" s="41"/>
      <c r="I68" s="743" t="s">
        <v>44</v>
      </c>
      <c r="J68" s="110"/>
      <c r="K68" s="111"/>
      <c r="M68" s="112"/>
      <c r="N68" s="112"/>
      <c r="O68" s="112"/>
      <c r="P68" s="113"/>
    </row>
    <row r="69" spans="1:16" ht="20.25" customHeight="1" x14ac:dyDescent="0.25">
      <c r="A69" s="68">
        <v>11.2</v>
      </c>
      <c r="B69" s="800"/>
      <c r="C69" s="685" t="s">
        <v>67</v>
      </c>
      <c r="D69" s="84" t="s">
        <v>46</v>
      </c>
      <c r="E69" s="14"/>
      <c r="F69" s="763"/>
      <c r="G69" s="764"/>
      <c r="H69" s="376"/>
      <c r="I69" s="816"/>
      <c r="J69" s="375"/>
      <c r="K69" s="111"/>
      <c r="M69" s="112"/>
      <c r="N69" s="112"/>
      <c r="O69" s="112"/>
      <c r="P69" s="113"/>
    </row>
    <row r="70" spans="1:16" ht="25.5" customHeight="1" x14ac:dyDescent="0.25">
      <c r="A70" s="68">
        <v>12.1</v>
      </c>
      <c r="B70" s="778" t="s">
        <v>68</v>
      </c>
      <c r="C70" s="562" t="s">
        <v>69</v>
      </c>
      <c r="D70" s="58" t="s">
        <v>70</v>
      </c>
      <c r="E70" s="10"/>
      <c r="F70" s="751" t="s">
        <v>71</v>
      </c>
      <c r="G70" s="752"/>
      <c r="H70" s="374"/>
      <c r="I70" s="743" t="s">
        <v>44</v>
      </c>
      <c r="J70" s="375"/>
      <c r="K70" s="111"/>
      <c r="M70" s="112"/>
      <c r="N70" s="112"/>
      <c r="O70" s="112"/>
      <c r="P70" s="113"/>
    </row>
    <row r="71" spans="1:16" ht="15.75" customHeight="1" x14ac:dyDescent="0.25">
      <c r="A71" s="68">
        <v>12.2</v>
      </c>
      <c r="B71" s="779"/>
      <c r="C71" s="685" t="s">
        <v>688</v>
      </c>
      <c r="D71" s="84" t="s">
        <v>46</v>
      </c>
      <c r="E71" s="14"/>
      <c r="F71" s="753"/>
      <c r="G71" s="754"/>
      <c r="H71" s="374"/>
      <c r="I71" s="744"/>
      <c r="J71" s="375"/>
      <c r="K71" s="111"/>
      <c r="M71" s="112"/>
      <c r="N71" s="112"/>
      <c r="O71" s="112"/>
      <c r="P71" s="113"/>
    </row>
    <row r="72" spans="1:16" ht="25.5" customHeight="1" x14ac:dyDescent="0.25">
      <c r="A72" s="68">
        <v>13.1</v>
      </c>
      <c r="B72" s="778" t="s">
        <v>309</v>
      </c>
      <c r="C72" s="562" t="s">
        <v>72</v>
      </c>
      <c r="D72" s="58" t="s">
        <v>73</v>
      </c>
      <c r="E72" s="10"/>
      <c r="F72" s="751" t="s">
        <v>593</v>
      </c>
      <c r="G72" s="752"/>
      <c r="H72" s="86"/>
      <c r="I72" s="743" t="s">
        <v>44</v>
      </c>
      <c r="J72" s="346"/>
      <c r="K72" s="111"/>
      <c r="M72" s="112"/>
      <c r="N72" s="112"/>
      <c r="O72" s="112"/>
      <c r="P72" s="113"/>
    </row>
    <row r="73" spans="1:16" ht="25.5" customHeight="1" x14ac:dyDescent="0.25">
      <c r="A73" s="68">
        <v>13.2</v>
      </c>
      <c r="B73" s="779"/>
      <c r="C73" s="685" t="s">
        <v>688</v>
      </c>
      <c r="D73" s="84" t="s">
        <v>46</v>
      </c>
      <c r="E73" s="14"/>
      <c r="F73" s="753"/>
      <c r="G73" s="754"/>
      <c r="H73" s="87"/>
      <c r="I73" s="744"/>
      <c r="J73" s="110"/>
      <c r="K73" s="111"/>
      <c r="M73" s="112"/>
      <c r="N73" s="112"/>
      <c r="O73" s="112"/>
      <c r="P73" s="113"/>
    </row>
    <row r="74" spans="1:16" ht="15.75" customHeight="1" x14ac:dyDescent="0.25">
      <c r="A74" s="68">
        <v>14.1</v>
      </c>
      <c r="B74" s="778" t="s">
        <v>311</v>
      </c>
      <c r="C74" s="437" t="s">
        <v>74</v>
      </c>
      <c r="D74" s="83" t="s">
        <v>46</v>
      </c>
      <c r="E74" s="14"/>
      <c r="F74" s="751" t="s">
        <v>594</v>
      </c>
      <c r="G74" s="752"/>
      <c r="H74" s="86"/>
      <c r="I74" s="743" t="s">
        <v>22</v>
      </c>
      <c r="K74" s="114"/>
      <c r="M74" s="112"/>
      <c r="N74" s="112"/>
      <c r="O74" s="112"/>
      <c r="P74" s="113"/>
    </row>
    <row r="75" spans="1:16" x14ac:dyDescent="0.25">
      <c r="A75" s="68">
        <v>14.2</v>
      </c>
      <c r="B75" s="779"/>
      <c r="C75" s="437" t="s">
        <v>75</v>
      </c>
      <c r="D75" s="83" t="s">
        <v>46</v>
      </c>
      <c r="E75" s="14"/>
      <c r="F75" s="753"/>
      <c r="G75" s="754"/>
      <c r="H75" s="87"/>
      <c r="I75" s="744"/>
      <c r="J75" s="110"/>
      <c r="K75" s="114"/>
      <c r="M75" s="112"/>
      <c r="N75" s="112"/>
      <c r="O75" s="112"/>
      <c r="P75" s="113"/>
    </row>
    <row r="76" spans="1:16" x14ac:dyDescent="0.25">
      <c r="A76" s="68">
        <v>14.3</v>
      </c>
      <c r="B76" s="800"/>
      <c r="C76" s="437" t="s">
        <v>76</v>
      </c>
      <c r="D76" s="83" t="s">
        <v>46</v>
      </c>
      <c r="E76" s="14"/>
      <c r="F76" s="763"/>
      <c r="G76" s="764"/>
      <c r="H76" s="88"/>
      <c r="I76" s="745"/>
      <c r="J76" s="110"/>
      <c r="K76" s="114"/>
      <c r="M76" s="112"/>
      <c r="N76" s="112"/>
      <c r="O76" s="112"/>
      <c r="P76" s="113"/>
    </row>
    <row r="77" spans="1:16" ht="15.75" customHeight="1" x14ac:dyDescent="0.25">
      <c r="A77" s="68">
        <v>15.1</v>
      </c>
      <c r="B77" s="778" t="s">
        <v>712</v>
      </c>
      <c r="C77" s="685" t="s">
        <v>77</v>
      </c>
      <c r="D77" s="58" t="s">
        <v>46</v>
      </c>
      <c r="E77" s="14"/>
      <c r="F77" s="751" t="s">
        <v>595</v>
      </c>
      <c r="G77" s="752"/>
      <c r="H77" s="86"/>
      <c r="I77" s="743" t="s">
        <v>26</v>
      </c>
      <c r="J77" s="110"/>
      <c r="K77" s="114"/>
      <c r="M77" s="112"/>
      <c r="N77" s="112"/>
      <c r="O77" s="112"/>
      <c r="P77" s="113"/>
    </row>
    <row r="78" spans="1:16" x14ac:dyDescent="0.25">
      <c r="A78" s="68">
        <v>15.2</v>
      </c>
      <c r="B78" s="779"/>
      <c r="C78" s="685" t="s">
        <v>78</v>
      </c>
      <c r="D78" s="84" t="s">
        <v>46</v>
      </c>
      <c r="E78" s="14"/>
      <c r="F78" s="753"/>
      <c r="G78" s="754"/>
      <c r="H78" s="87"/>
      <c r="I78" s="744"/>
      <c r="J78" s="110"/>
      <c r="K78" s="111"/>
      <c r="M78" s="112"/>
      <c r="N78" s="112"/>
      <c r="O78" s="112"/>
      <c r="P78" s="113"/>
    </row>
    <row r="79" spans="1:16" ht="15.75" customHeight="1" x14ac:dyDescent="0.25">
      <c r="A79" s="68">
        <v>15.3</v>
      </c>
      <c r="B79" s="779"/>
      <c r="C79" s="685" t="s">
        <v>79</v>
      </c>
      <c r="D79" s="84" t="s">
        <v>46</v>
      </c>
      <c r="E79" s="14"/>
      <c r="F79" s="753"/>
      <c r="G79" s="754"/>
      <c r="H79" s="87"/>
      <c r="I79" s="744"/>
      <c r="J79" s="110"/>
      <c r="K79" s="111"/>
      <c r="M79" s="112"/>
      <c r="N79" s="112"/>
      <c r="O79" s="112"/>
      <c r="P79" s="113"/>
    </row>
    <row r="80" spans="1:16" x14ac:dyDescent="0.25">
      <c r="A80" s="68">
        <v>15.4</v>
      </c>
      <c r="B80" s="779"/>
      <c r="C80" s="685" t="s">
        <v>80</v>
      </c>
      <c r="D80" s="84" t="s">
        <v>46</v>
      </c>
      <c r="E80" s="14"/>
      <c r="F80" s="753"/>
      <c r="G80" s="754"/>
      <c r="H80" s="87"/>
      <c r="I80" s="744"/>
      <c r="J80" s="110"/>
      <c r="K80" s="111"/>
      <c r="M80" s="112"/>
      <c r="N80" s="112"/>
      <c r="O80" s="112"/>
      <c r="P80" s="113"/>
    </row>
    <row r="81" spans="1:16" x14ac:dyDescent="0.25">
      <c r="A81" s="68">
        <v>15.4</v>
      </c>
      <c r="B81" s="779"/>
      <c r="C81" s="685" t="s">
        <v>81</v>
      </c>
      <c r="D81" s="84" t="s">
        <v>46</v>
      </c>
      <c r="E81" s="14"/>
      <c r="F81" s="753"/>
      <c r="G81" s="754"/>
      <c r="H81" s="87"/>
      <c r="I81" s="744"/>
      <c r="J81" s="110"/>
      <c r="K81" s="111"/>
      <c r="M81" s="112"/>
      <c r="N81" s="112"/>
      <c r="O81" s="112"/>
      <c r="P81" s="113"/>
    </row>
    <row r="82" spans="1:16" x14ac:dyDescent="0.25">
      <c r="A82" s="68">
        <v>15.6</v>
      </c>
      <c r="B82" s="800"/>
      <c r="C82" s="685" t="s">
        <v>82</v>
      </c>
      <c r="D82" s="84" t="s">
        <v>46</v>
      </c>
      <c r="E82" s="14"/>
      <c r="F82" s="763"/>
      <c r="G82" s="764"/>
      <c r="H82" s="88"/>
      <c r="I82" s="745"/>
      <c r="J82" s="110"/>
      <c r="K82" s="111"/>
      <c r="M82" s="112"/>
      <c r="N82" s="112"/>
      <c r="O82" s="112"/>
      <c r="P82" s="113"/>
    </row>
    <row r="83" spans="1:16" ht="18" customHeight="1" x14ac:dyDescent="0.25">
      <c r="A83" s="68">
        <v>16.100000000000001</v>
      </c>
      <c r="B83" s="778" t="s">
        <v>310</v>
      </c>
      <c r="C83" s="685" t="s">
        <v>83</v>
      </c>
      <c r="D83" s="58" t="s">
        <v>46</v>
      </c>
      <c r="E83" s="14"/>
      <c r="F83" s="795" t="s">
        <v>596</v>
      </c>
      <c r="G83" s="796"/>
      <c r="H83" s="42"/>
      <c r="I83" s="743" t="s">
        <v>44</v>
      </c>
      <c r="J83" s="110"/>
      <c r="K83" s="111"/>
      <c r="M83" s="112"/>
      <c r="N83" s="112"/>
      <c r="O83" s="112"/>
      <c r="P83" s="113"/>
    </row>
    <row r="84" spans="1:16" ht="18" customHeight="1" x14ac:dyDescent="0.25">
      <c r="A84" s="68">
        <v>16.2</v>
      </c>
      <c r="B84" s="800"/>
      <c r="C84" s="685" t="s">
        <v>84</v>
      </c>
      <c r="D84" s="58" t="s">
        <v>46</v>
      </c>
      <c r="E84" s="14"/>
      <c r="F84" s="797"/>
      <c r="G84" s="798"/>
      <c r="H84" s="44"/>
      <c r="I84" s="745"/>
      <c r="J84" s="110"/>
      <c r="K84" s="111"/>
      <c r="M84" s="112"/>
      <c r="N84" s="112"/>
      <c r="O84" s="112"/>
      <c r="P84" s="113"/>
    </row>
    <row r="85" spans="1:16" ht="15.75" customHeight="1" x14ac:dyDescent="0.25">
      <c r="A85" s="349" t="s">
        <v>297</v>
      </c>
      <c r="B85" s="350"/>
      <c r="C85" s="350"/>
      <c r="D85" s="351"/>
      <c r="E85" s="352" t="s">
        <v>9</v>
      </c>
      <c r="F85" s="352"/>
      <c r="G85" s="351"/>
      <c r="H85" s="351"/>
      <c r="I85" s="417" t="s">
        <v>10</v>
      </c>
      <c r="J85" s="104"/>
    </row>
    <row r="86" spans="1:16" ht="15.75" customHeight="1" x14ac:dyDescent="0.25">
      <c r="A86" s="48" t="s">
        <v>11</v>
      </c>
      <c r="B86" s="559" t="s">
        <v>12</v>
      </c>
      <c r="C86" s="49" t="s">
        <v>13</v>
      </c>
      <c r="D86" s="49" t="s">
        <v>14</v>
      </c>
      <c r="E86" s="51" t="s">
        <v>15</v>
      </c>
      <c r="F86" s="50" t="s">
        <v>85</v>
      </c>
      <c r="G86" s="558" t="s">
        <v>16</v>
      </c>
      <c r="H86" s="558" t="s">
        <v>17</v>
      </c>
      <c r="I86" s="67" t="s">
        <v>15</v>
      </c>
      <c r="J86" s="104"/>
    </row>
    <row r="87" spans="1:16" ht="15.75" customHeight="1" x14ac:dyDescent="0.25">
      <c r="A87" s="68">
        <v>17.100000000000001</v>
      </c>
      <c r="B87" s="737" t="s">
        <v>86</v>
      </c>
      <c r="C87" s="685" t="s">
        <v>87</v>
      </c>
      <c r="D87" s="83" t="s">
        <v>46</v>
      </c>
      <c r="E87" s="14"/>
      <c r="F87" s="390" t="e">
        <f>INDEX(Fates_Table[Value],MATCH("1.1_"&amp;'Baseline data entry'!E87,Fates_Table[ID3],0))/(INDEX(Fates_Table[Value],MATCH("1.1_"&amp;'Baseline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G87" s="740" t="s">
        <v>597</v>
      </c>
      <c r="H87" s="86"/>
      <c r="I87" s="743" t="s">
        <v>22</v>
      </c>
      <c r="J87" s="104"/>
    </row>
    <row r="88" spans="1:16" x14ac:dyDescent="0.25">
      <c r="A88" s="68">
        <v>17.2</v>
      </c>
      <c r="B88" s="738"/>
      <c r="C88" s="685" t="s">
        <v>88</v>
      </c>
      <c r="D88" s="83" t="s">
        <v>46</v>
      </c>
      <c r="E88" s="14"/>
      <c r="F88" s="390" t="e">
        <f>INDEX(Fates_Table[Value],MATCH("1.2_"&amp;'Baseline data entry'!E88,Fates_Table[ID3],0))/(INDEX(Fates_Table[Value],MATCH("1.1_"&amp;'Baseline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G88" s="741"/>
      <c r="H88" s="87"/>
      <c r="I88" s="744"/>
    </row>
    <row r="89" spans="1:16" x14ac:dyDescent="0.25">
      <c r="A89" s="68">
        <v>17.3</v>
      </c>
      <c r="B89" s="738"/>
      <c r="C89" s="685" t="s">
        <v>89</v>
      </c>
      <c r="D89" s="83" t="s">
        <v>46</v>
      </c>
      <c r="E89" s="14"/>
      <c r="F89" s="390" t="e">
        <f>INDEX(Fates_Table[Value],MATCH("1.3_"&amp;'Baseline data entry'!E89,Fates_Table[ID3],0))/(INDEX(Fates_Table[Value],MATCH("1.1_"&amp;'Baseline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G89" s="741"/>
      <c r="H89" s="391"/>
      <c r="I89" s="744"/>
    </row>
    <row r="90" spans="1:16" x14ac:dyDescent="0.25">
      <c r="A90" s="68">
        <v>17.399999999999999</v>
      </c>
      <c r="B90" s="739"/>
      <c r="C90" s="685" t="s">
        <v>334</v>
      </c>
      <c r="D90" s="83" t="s">
        <v>46</v>
      </c>
      <c r="E90" s="14"/>
      <c r="F90" s="390" t="e">
        <f>INDEX(Fates_Table[Value],MATCH("1.4_"&amp;'Baseline data entry'!E90,Fates_Table[ID3],0))/(INDEX(Fates_Table[Value],MATCH("1.1_"&amp;'Baseline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G90" s="742"/>
      <c r="H90" s="87"/>
      <c r="I90" s="745"/>
    </row>
    <row r="91" spans="1:16" ht="15.75" customHeight="1" x14ac:dyDescent="0.25">
      <c r="A91" s="68">
        <v>18.100000000000001</v>
      </c>
      <c r="B91" s="737" t="s">
        <v>90</v>
      </c>
      <c r="C91" s="685" t="s">
        <v>91</v>
      </c>
      <c r="D91" s="85" t="s">
        <v>46</v>
      </c>
      <c r="E91" s="14"/>
      <c r="F91" s="390" t="e">
        <f>INDEX(Fates_Table[Value],MATCH("2.1_"&amp;'Baseline data entry'!E91,Fates_Table[ID3],0))/(INDEX(Fates_Table[Value],MATCH("2.1_"&amp;'Baseline data entry'!E91,Fates_Table[ID3],0))+INDEX(Fates_Table[Value],MATCH("2.2_"&amp;'Baseline data entry'!E92,Fates_Table[ID3],0))+INDEX(Fates_Table[Value],MATCH("2.3_"&amp;'Baseline data entry'!E93,Fates_Table[ID3],0)))</f>
        <v>#N/A</v>
      </c>
      <c r="G91" s="740" t="s">
        <v>598</v>
      </c>
      <c r="H91" s="86"/>
      <c r="I91" s="743" t="s">
        <v>26</v>
      </c>
    </row>
    <row r="92" spans="1:16" ht="15.75" customHeight="1" x14ac:dyDescent="0.25">
      <c r="A92" s="68">
        <v>18.2</v>
      </c>
      <c r="B92" s="738"/>
      <c r="C92" s="685" t="s">
        <v>93</v>
      </c>
      <c r="D92" s="59" t="s">
        <v>46</v>
      </c>
      <c r="E92" s="14"/>
      <c r="F92" s="390" t="e">
        <f>INDEX(Fates_Table[Value],MATCH("2.2_"&amp;'Baseline data entry'!E92,Fates_Table[ID3],0))/(INDEX(Fates_Table[Value],MATCH("2.1_"&amp;'Baseline data entry'!E91,Fates_Table[ID3],0))+INDEX(Fates_Table[Value],MATCH("2.2_"&amp;'Baseline data entry'!E92,Fates_Table[ID3],0))+INDEX(Fates_Table[Value],MATCH("2.3_"&amp;'Baseline data entry'!E93,Fates_Table[ID3],0)))</f>
        <v>#N/A</v>
      </c>
      <c r="G92" s="741"/>
      <c r="H92" s="391"/>
      <c r="I92" s="744"/>
    </row>
    <row r="93" spans="1:16" ht="15.75" customHeight="1" x14ac:dyDescent="0.25">
      <c r="A93" s="68">
        <v>18.3</v>
      </c>
      <c r="B93" s="739"/>
      <c r="C93" s="685" t="s">
        <v>335</v>
      </c>
      <c r="D93" s="59" t="s">
        <v>46</v>
      </c>
      <c r="E93" s="14"/>
      <c r="F93" s="390" t="e">
        <f>INDEX(Fates_Table[Value],MATCH("2.3_"&amp;'Baseline data entry'!E93,Fates_Table[ID3],0))/(INDEX(Fates_Table[Value],MATCH("2.1_"&amp;'Baseline data entry'!E91,Fates_Table[ID3],0))+INDEX(Fates_Table[Value],MATCH("2.2_"&amp;'Baseline data entry'!E92,Fates_Table[ID3],0))+INDEX(Fates_Table[Value],MATCH("2.3_"&amp;'Baseline data entry'!E93,Fates_Table[ID3],0)))</f>
        <v>#N/A</v>
      </c>
      <c r="G93" s="742"/>
      <c r="H93" s="87"/>
      <c r="I93" s="745"/>
    </row>
    <row r="94" spans="1:16" ht="15.75" customHeight="1" x14ac:dyDescent="0.25">
      <c r="A94" s="68">
        <v>19.100000000000001</v>
      </c>
      <c r="B94" s="746" t="s">
        <v>95</v>
      </c>
      <c r="C94" s="685" t="s">
        <v>87</v>
      </c>
      <c r="D94" s="84" t="s">
        <v>46</v>
      </c>
      <c r="E94" s="14"/>
      <c r="F94" s="390" t="e">
        <f>INDEX(Fates_Table[Value],MATCH("4.1_"&amp;'Baseline data entry'!E94,Fates_Table[ID3],0))/(INDEX(Fates_Table[Value],MATCH("4.1_"&amp;'Baseline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G94" s="740" t="s">
        <v>692</v>
      </c>
      <c r="H94" s="42"/>
      <c r="I94" s="743" t="s">
        <v>44</v>
      </c>
      <c r="J94" s="106"/>
    </row>
    <row r="95" spans="1:16" x14ac:dyDescent="0.25">
      <c r="A95" s="68">
        <v>19.2</v>
      </c>
      <c r="B95" s="747"/>
      <c r="C95" s="685" t="s">
        <v>88</v>
      </c>
      <c r="D95" s="84" t="s">
        <v>46</v>
      </c>
      <c r="E95" s="14"/>
      <c r="F95" s="390" t="e">
        <f>INDEX(Fates_Table[Value],MATCH("4.2_"&amp;'Baseline data entry'!E95,Fates_Table[ID3],0))/(INDEX(Fates_Table[Value],MATCH("4.1_"&amp;'Baseline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G95" s="741"/>
      <c r="H95" s="43"/>
      <c r="I95" s="744"/>
      <c r="J95" s="106"/>
    </row>
    <row r="96" spans="1:16" x14ac:dyDescent="0.25">
      <c r="A96" s="68">
        <v>19.3</v>
      </c>
      <c r="B96" s="747"/>
      <c r="C96" s="685" t="s">
        <v>89</v>
      </c>
      <c r="D96" s="84" t="s">
        <v>46</v>
      </c>
      <c r="E96" s="14"/>
      <c r="F96" s="390" t="e">
        <f>INDEX(Fates_Table[Value],MATCH("4.3_"&amp;'Baseline data entry'!E96,Fates_Table[ID3],0))/(INDEX(Fates_Table[Value],MATCH("4.1_"&amp;'Baseline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G96" s="741"/>
      <c r="H96" s="393"/>
      <c r="I96" s="744"/>
      <c r="J96" s="106"/>
    </row>
    <row r="97" spans="1:10" x14ac:dyDescent="0.25">
      <c r="A97" s="68">
        <v>19.399999999999999</v>
      </c>
      <c r="B97" s="748"/>
      <c r="C97" s="685" t="s">
        <v>336</v>
      </c>
      <c r="D97" s="84" t="s">
        <v>46</v>
      </c>
      <c r="E97" s="14"/>
      <c r="F97" s="390" t="e">
        <f>INDEX(Fates_Table[Value],MATCH("4.4_"&amp;'Baseline data entry'!E97,Fates_Table[ID3],0))/(INDEX(Fates_Table[Value],MATCH("4.1_"&amp;'Baseline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G97" s="742"/>
      <c r="H97" s="43"/>
      <c r="I97" s="745"/>
      <c r="J97" s="106"/>
    </row>
    <row r="98" spans="1:10" ht="15.75" customHeight="1" x14ac:dyDescent="0.25">
      <c r="A98" s="68">
        <v>20.100000000000001</v>
      </c>
      <c r="B98" s="824" t="s">
        <v>96</v>
      </c>
      <c r="C98" s="685" t="s">
        <v>87</v>
      </c>
      <c r="D98" s="84" t="s">
        <v>46</v>
      </c>
      <c r="E98" s="14"/>
      <c r="F98" s="390" t="e">
        <f>INDEX(Fates_Table[Value],MATCH("4.1_"&amp;'Baseline data entry'!E98,Fates_Table[ID3],0))/(INDEX(Fates_Table[Value],MATCH("4.1_"&amp;'Baseline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G98" s="740" t="s">
        <v>691</v>
      </c>
      <c r="H98" s="42"/>
      <c r="I98" s="743" t="s">
        <v>44</v>
      </c>
      <c r="J98" s="106"/>
    </row>
    <row r="99" spans="1:10" x14ac:dyDescent="0.25">
      <c r="A99" s="68">
        <v>20.2</v>
      </c>
      <c r="B99" s="824"/>
      <c r="C99" s="685" t="s">
        <v>88</v>
      </c>
      <c r="D99" s="84" t="s">
        <v>46</v>
      </c>
      <c r="E99" s="14"/>
      <c r="F99" s="390" t="e">
        <f>INDEX(Fates_Table[Value],MATCH("4.2_"&amp;'Baseline data entry'!E99,Fates_Table[ID3],0))/(INDEX(Fates_Table[Value],MATCH("4.1_"&amp;'Baseline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G99" s="741"/>
      <c r="H99" s="43"/>
      <c r="I99" s="744"/>
      <c r="J99" s="115"/>
    </row>
    <row r="100" spans="1:10" x14ac:dyDescent="0.25">
      <c r="A100" s="68">
        <v>20.3</v>
      </c>
      <c r="B100" s="824"/>
      <c r="C100" s="685" t="s">
        <v>89</v>
      </c>
      <c r="D100" s="84" t="s">
        <v>46</v>
      </c>
      <c r="E100" s="14"/>
      <c r="F100" s="390" t="e">
        <f>INDEX(Fates_Table[Value],MATCH("4.3_"&amp;'Baseline data entry'!E100,Fates_Table[ID3],0))/(INDEX(Fates_Table[Value],MATCH("4.1_"&amp;'Baseline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G100" s="741"/>
      <c r="H100" s="393"/>
      <c r="I100" s="744"/>
      <c r="J100" s="106"/>
    </row>
    <row r="101" spans="1:10" x14ac:dyDescent="0.25">
      <c r="A101" s="68">
        <v>20.399999999999999</v>
      </c>
      <c r="B101" s="824"/>
      <c r="C101" s="685" t="s">
        <v>336</v>
      </c>
      <c r="D101" s="84" t="s">
        <v>46</v>
      </c>
      <c r="E101" s="14"/>
      <c r="F101" s="390" t="e">
        <f>INDEX(Fates_Table[Value],MATCH("4.4_"&amp;'Baseline data entry'!E101,Fates_Table[ID3],0))/(INDEX(Fates_Table[Value],MATCH("4.1_"&amp;'Baseline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G101" s="742"/>
      <c r="H101" s="43"/>
      <c r="I101" s="745"/>
      <c r="J101" s="106"/>
    </row>
    <row r="102" spans="1:10" ht="15.75" customHeight="1" x14ac:dyDescent="0.25">
      <c r="A102" s="401">
        <v>21.1</v>
      </c>
      <c r="B102" s="752" t="s">
        <v>716</v>
      </c>
      <c r="C102" s="685" t="s">
        <v>91</v>
      </c>
      <c r="D102" s="84" t="s">
        <v>46</v>
      </c>
      <c r="E102" s="14"/>
      <c r="F102" s="399" t="e">
        <f>INDEX(Fates_Table[Value],MATCH("3.1_"&amp;'Baseline data entry'!E102,Fates_Table[ID3],0))/(INDEX(Fates_Table[Value],MATCH("3.1_"&amp;'Baseline data entry'!E102,Fates_Table[ID3],0))+INDEX(Fates_Table[Value],MATCH("3.2_"&amp;'Baseline data entry'!E103,Fates_Table[ID3],0))+INDEX(Fates_Table[Value],MATCH("3.3_"&amp;'Baseline data entry'!E104,Fates_Table[ID3],0)))</f>
        <v>#N/A</v>
      </c>
      <c r="G102" s="821" t="s">
        <v>599</v>
      </c>
      <c r="H102" s="397"/>
      <c r="I102" s="818" t="s">
        <v>22</v>
      </c>
      <c r="J102" s="115"/>
    </row>
    <row r="103" spans="1:10" ht="15.75" customHeight="1" x14ac:dyDescent="0.25">
      <c r="A103" s="401">
        <v>21.2</v>
      </c>
      <c r="B103" s="754"/>
      <c r="C103" s="685" t="s">
        <v>93</v>
      </c>
      <c r="D103" s="394" t="s">
        <v>46</v>
      </c>
      <c r="E103" s="395"/>
      <c r="F103" s="399" t="e">
        <f>INDEX(Fates_Table[Value],MATCH("3.2_"&amp;'Baseline data entry'!E103,Fates_Table[ID3],0))/(INDEX(Fates_Table[Value],MATCH("3.1_"&amp;'Baseline data entry'!E102,Fates_Table[ID3],0))+INDEX(Fates_Table[Value],MATCH("3.2_"&amp;'Baseline data entry'!E103,Fates_Table[ID3],0))+INDEX(Fates_Table[Value],MATCH("3.3_"&amp;'Baseline data entry'!E104,Fates_Table[ID3],0)))</f>
        <v>#N/A</v>
      </c>
      <c r="G103" s="822"/>
      <c r="H103" s="393"/>
      <c r="I103" s="819"/>
      <c r="J103" s="115"/>
    </row>
    <row r="104" spans="1:10" ht="15.75" customHeight="1" thickBot="1" x14ac:dyDescent="0.3">
      <c r="A104" s="396">
        <v>21.3</v>
      </c>
      <c r="B104" s="817"/>
      <c r="C104" s="686" t="s">
        <v>335</v>
      </c>
      <c r="D104" s="353" t="s">
        <v>46</v>
      </c>
      <c r="E104" s="354"/>
      <c r="F104" s="400" t="e">
        <f>INDEX(Fates_Table[Value],MATCH("3.3_"&amp;'Baseline data entry'!E104,Fates_Table[ID3],0))/(INDEX(Fates_Table[Value],MATCH("3.1_"&amp;'Baseline data entry'!E102,Fates_Table[ID3],0))+INDEX(Fates_Table[Value],MATCH("3.2_"&amp;'Baseline data entry'!E103,Fates_Table[ID3],0))+INDEX(Fates_Table[Value],MATCH("3.3_"&amp;'Baseline data entry'!E104,Fates_Table[ID3],0)))</f>
        <v>#N/A</v>
      </c>
      <c r="G104" s="823"/>
      <c r="H104" s="398"/>
      <c r="I104" s="820"/>
      <c r="J104" s="115"/>
    </row>
    <row r="105" spans="1:10" ht="15.75" customHeight="1" x14ac:dyDescent="0.25">
      <c r="A105" s="94"/>
      <c r="B105" s="94"/>
      <c r="C105" s="94"/>
      <c r="D105" s="94"/>
      <c r="G105" s="94"/>
      <c r="H105" s="94"/>
      <c r="I105" s="94"/>
      <c r="J105" s="115"/>
    </row>
    <row r="106" spans="1:10" x14ac:dyDescent="0.25">
      <c r="A106" s="94"/>
      <c r="B106" s="94"/>
      <c r="C106" s="94"/>
      <c r="D106" s="94"/>
      <c r="G106" s="94"/>
      <c r="H106" s="94"/>
      <c r="I106" s="94"/>
      <c r="J106" s="106"/>
    </row>
    <row r="107" spans="1:10" x14ac:dyDescent="0.25">
      <c r="A107" s="94"/>
      <c r="B107" s="94"/>
      <c r="C107" s="94"/>
      <c r="D107" s="94"/>
      <c r="G107" s="94"/>
      <c r="H107" s="94"/>
      <c r="I107" s="94"/>
    </row>
    <row r="109" spans="1:10" x14ac:dyDescent="0.25">
      <c r="G109" s="392"/>
    </row>
    <row r="161" spans="1:17" s="92" customFormat="1" x14ac:dyDescent="0.25">
      <c r="A161" s="91"/>
      <c r="D161" s="93"/>
      <c r="E161" s="94"/>
      <c r="F161" s="94"/>
      <c r="I161" s="95"/>
      <c r="J161" s="94"/>
      <c r="K161" s="94"/>
      <c r="L161" s="94"/>
      <c r="M161" s="94"/>
      <c r="N161" s="94"/>
      <c r="O161" s="94"/>
      <c r="P161" s="94"/>
      <c r="Q161" s="94"/>
    </row>
  </sheetData>
  <sheetProtection algorithmName="SHA-512" hashValue="V4vpD/IgiHQEbKl1TImpupjbYTVFjvd+d9zxi/Fd9cGYhsu9Sp2sS6LWf2xforKJmroW/wEg3DgKohXa066qAw==" saltValue="pssHzH2hECw1aYB7rrI5Uw==" spinCount="100000" sheet="1"/>
  <dataConsolidate/>
  <mergeCells count="82">
    <mergeCell ref="B102:B104"/>
    <mergeCell ref="I98:I101"/>
    <mergeCell ref="G98:G101"/>
    <mergeCell ref="I102:I104"/>
    <mergeCell ref="G102:G104"/>
    <mergeCell ref="B98:B101"/>
    <mergeCell ref="B59:B61"/>
    <mergeCell ref="I83:I84"/>
    <mergeCell ref="I64:I67"/>
    <mergeCell ref="I68:I69"/>
    <mergeCell ref="B83:B84"/>
    <mergeCell ref="I72:I73"/>
    <mergeCell ref="I74:I76"/>
    <mergeCell ref="I77:I82"/>
    <mergeCell ref="B74:B76"/>
    <mergeCell ref="B77:B82"/>
    <mergeCell ref="I70:I71"/>
    <mergeCell ref="K57:O57"/>
    <mergeCell ref="B68:B69"/>
    <mergeCell ref="B55:C55"/>
    <mergeCell ref="B41:B46"/>
    <mergeCell ref="D41:D46"/>
    <mergeCell ref="I41:I46"/>
    <mergeCell ref="B49:B54"/>
    <mergeCell ref="D49:D54"/>
    <mergeCell ref="I49:I54"/>
    <mergeCell ref="B64:B67"/>
    <mergeCell ref="B56:C56"/>
    <mergeCell ref="B47:B48"/>
    <mergeCell ref="I47:I48"/>
    <mergeCell ref="F35:G46"/>
    <mergeCell ref="F47:G47"/>
    <mergeCell ref="F48:G48"/>
    <mergeCell ref="I87:I90"/>
    <mergeCell ref="G87:G90"/>
    <mergeCell ref="B87:B90"/>
    <mergeCell ref="F83:G84"/>
    <mergeCell ref="B72:B73"/>
    <mergeCell ref="F74:G76"/>
    <mergeCell ref="F77:G82"/>
    <mergeCell ref="H9:I9"/>
    <mergeCell ref="B70:B71"/>
    <mergeCell ref="B29:B34"/>
    <mergeCell ref="D29:D34"/>
    <mergeCell ref="I29:I34"/>
    <mergeCell ref="D35:D40"/>
    <mergeCell ref="I35:I40"/>
    <mergeCell ref="B14:B20"/>
    <mergeCell ref="B35:B40"/>
    <mergeCell ref="B23:B28"/>
    <mergeCell ref="D23:D28"/>
    <mergeCell ref="I23:I28"/>
    <mergeCell ref="I14:I19"/>
    <mergeCell ref="F12:G12"/>
    <mergeCell ref="F11:G11"/>
    <mergeCell ref="F13:G13"/>
    <mergeCell ref="F14:G19"/>
    <mergeCell ref="F20:G20"/>
    <mergeCell ref="F22:G22"/>
    <mergeCell ref="F23:G28"/>
    <mergeCell ref="F29:G34"/>
    <mergeCell ref="F49:G49"/>
    <mergeCell ref="F50:G50"/>
    <mergeCell ref="F51:G51"/>
    <mergeCell ref="F52:G52"/>
    <mergeCell ref="F53:G53"/>
    <mergeCell ref="F54:G54"/>
    <mergeCell ref="F55:G55"/>
    <mergeCell ref="F56:G56"/>
    <mergeCell ref="F70:G71"/>
    <mergeCell ref="F72:G73"/>
    <mergeCell ref="F58:G58"/>
    <mergeCell ref="F59:G61"/>
    <mergeCell ref="F63:G63"/>
    <mergeCell ref="F64:G67"/>
    <mergeCell ref="F68:G69"/>
    <mergeCell ref="B91:B93"/>
    <mergeCell ref="G91:G93"/>
    <mergeCell ref="I91:I93"/>
    <mergeCell ref="I94:I97"/>
    <mergeCell ref="G94:G97"/>
    <mergeCell ref="B94:B97"/>
  </mergeCells>
  <conditionalFormatting sqref="E20">
    <cfRule type="cellIs" dxfId="40" priority="15" operator="notEqual">
      <formula>1</formula>
    </cfRule>
  </conditionalFormatting>
  <conditionalFormatting sqref="E55:E56">
    <cfRule type="cellIs" dxfId="39" priority="13" operator="notBetween">
      <formula>0</formula>
      <formula>1</formula>
    </cfRule>
  </conditionalFormatting>
  <conditionalFormatting sqref="E49:E54">
    <cfRule type="cellIs" dxfId="38" priority="5" operator="notBetween">
      <formula>0</formula>
      <formula>1</formula>
    </cfRule>
  </conditionalFormatting>
  <dataValidations xWindow="497" yWindow="1367" count="23">
    <dataValidation type="list" allowBlank="1" showInputMessage="1" showErrorMessage="1" sqref="I49" xr:uid="{00000000-0002-0000-0200-000000000000}">
      <formula1>"High, Medium, Low"</formula1>
    </dataValidation>
    <dataValidation showInputMessage="1" showErrorMessage="1" sqref="I55:I56" xr:uid="{00000000-0002-0000-0200-000001000000}"/>
    <dataValidation type="list" allowBlank="1" showInputMessage="1" showErrorMessage="1" sqref="E68:E69 E65 E74:E75 E78" xr:uid="{00000000-0002-0000-0200-000002000000}">
      <formula1>Type2</formula1>
    </dataValidation>
    <dataValidation type="list" allowBlank="1" showInputMessage="1" showErrorMessage="1" sqref="I14:I19 I29:I34 I102 I64:I70 I41:I47 I87 I91 I94 I98 I74:I82 I72" xr:uid="{00000000-0002-0000-0200-000003000000}">
      <formula1>Uncertainty_factors</formula1>
    </dataValidation>
    <dataValidation type="list" allowBlank="1" showInputMessage="1" showErrorMessage="1" sqref="E76 E79:E82" xr:uid="{00000000-0002-0000-0200-000004000000}">
      <formula1>Type5</formula1>
    </dataValidation>
    <dataValidation type="list" allowBlank="1" showInputMessage="1" showErrorMessage="1" sqref="E64 E83:E84" xr:uid="{00000000-0002-0000-0200-000005000000}">
      <formula1>Type1</formula1>
    </dataValidation>
    <dataValidation type="list" allowBlank="1" showInputMessage="1" showErrorMessage="1" sqref="E77 E73 E71" xr:uid="{00000000-0002-0000-0200-000006000000}">
      <formula1>Type4</formula1>
    </dataValidation>
    <dataValidation type="list" allowBlank="1" showInputMessage="1" showErrorMessage="1" sqref="E66:E67" xr:uid="{00000000-0002-0000-0200-000007000000}">
      <formula1>Type3</formula1>
    </dataValidation>
    <dataValidation type="list" showInputMessage="1" showErrorMessage="1" sqref="I12:I13 I23:I28 I35:I40 I59:I61 I83:I84" xr:uid="{00000000-0002-0000-0200-000008000000}">
      <formula1>Uncertainty_factors</formula1>
    </dataValidation>
    <dataValidation type="decimal" allowBlank="1" showInputMessage="1" showErrorMessage="1" sqref="E72 E70" xr:uid="{00000000-0002-0000-0200-000009000000}">
      <formula1>0</formula1>
      <formula2>1</formula2>
    </dataValidation>
    <dataValidation allowBlank="1" showErrorMessage="1" promptTitle="Population" prompt="Population refers to the permanent population within the municipality. If tourism is prevalent within the area, the average daily number of tourists should also be included within this number." sqref="B12" xr:uid="{00000000-0002-0000-0200-00000A000000}"/>
    <dataValidation allowBlank="1" showErrorMessage="1" promptTitle="MSW generation per capita" prompt="MSW includes household, commercial, institutional and public solid waste. This value should be determined by applying waste characterisation studies within the study area as discussed in the user manual." sqref="B13" xr:uid="{00000000-0002-0000-0200-00000B000000}"/>
    <dataValidation allowBlank="1" showErrorMessage="1" promptTitle="MSW Composition" prompt="The MSW composition should be determined using waste characterisation studies where possible. The WFD categorises waste into 6 broad types as defined in the user manual. " sqref="B14:B20" xr:uid="{00000000-0002-0000-0200-00000C000000}"/>
    <dataValidation allowBlank="1" showErrorMessage="1" promptTitle="Designated Disposal Sites (DDS)" prompt="DDS refer to disposal sites which are regularly used by the public authorities and private collectors, regardless of the level of control and legality. DDS can be officially designated or non-officially designated but still used regularly." sqref="B23:B28" xr:uid="{00000000-0002-0000-0200-00000D000000}"/>
    <dataValidation allowBlank="1" showErrorMessage="1" promptTitle="Energy from waste (EfW)" prompt="Includes incineration and advanced thermal treatments (gasification, pyrolysis etc.) but excludes the open burning of waste and the burning of waste as a fuel by residents." sqref="B29:B34" xr:uid="{00000000-0002-0000-0200-00000E000000}"/>
    <dataValidation allowBlank="1" showErrorMessage="1" promptTitle="Informal service-chain" prompt="Informal service-chain collection refers to mixed waste collection services provided typically for a fee by the informal sector. This differs from the informal value-chain which selectively collect materials which have a resale value." sqref="B47" xr:uid="{00000000-0002-0000-0200-00000F000000}"/>
    <dataValidation allowBlank="1" showErrorMessage="1" promptTitle="Managed in controlled facilities" prompt="The “proportion of waste managed in controlled facilities” relates to the SDG11.6.1 sub-indicator. Although this sub-indicator is for the total of all recovery and disposal facilities, here these are separated into categories for easier assignment." sqref="B59:B61" xr:uid="{00000000-0002-0000-0200-000010000000}"/>
    <dataValidation allowBlank="1" showErrorMessage="1" promptTitle="Data reliability" prompt="Data reliability refers to the confidence you have in the data. The user manual should be referred to decide what value is applied for each input." sqref="I10 I57 I62 I21 I85" xr:uid="{00000000-0002-0000-0200-000011000000}"/>
    <dataValidation allowBlank="1" showErrorMessage="1" promptTitle="Metadata" prompt="Please populate the metadata fields with any useful information or explanations that relate to the data entry value." sqref="H11 H22 H58 H63 H86" xr:uid="{00000000-0002-0000-0200-000012000000}"/>
    <dataValidation allowBlank="1" showErrorMessage="1" promptTitle="Information" prompt="The information fields are populated with helpful notes and instructions for completing the data entry. Alternatively, click the ⓘ symbols for extra information and definitions." sqref="F11 F22 F58 F63 G86" xr:uid="{00000000-0002-0000-0200-000013000000}"/>
    <dataValidation allowBlank="1" showErrorMessage="1" promptTitle="Sorting for reprocessing" prompt="Waste is considered sorted for reprocessing after the first sorting (i.e. rejects removal). Although further sorting is likely at subsequent stages in the reprocessing, these are deemed out of scope. Further details are given in the user manual." sqref="B35:B46" xr:uid="{00000000-0002-0000-0200-000014000000}"/>
    <dataValidation type="list" allowBlank="1" showInputMessage="1" showErrorMessage="1" sqref="E47" xr:uid="{00000000-0002-0000-0200-000015000000}">
      <formula1>Type8</formula1>
    </dataValidation>
    <dataValidation type="list" allowBlank="1" showInputMessage="1" showErrorMessage="1" sqref="E87:E104" xr:uid="{00000000-0002-0000-0200-000016000000}">
      <formula1>Type9</formula1>
    </dataValidation>
  </dataValidations>
  <hyperlinks>
    <hyperlink ref="C64" location="'Quick Reference Guide'!A41" tooltip="Click to view descriptive table" display="Collection containers" xr:uid="{00000000-0004-0000-0200-000000000000}"/>
    <hyperlink ref="C65" location="'Quick Reference Guide'!A50" tooltip="Click to view descriptive tables" display="Loading method" xr:uid="{00000000-0004-0000-0200-000001000000}"/>
    <hyperlink ref="C66" location="'Quick Reference Guide'!A57" tooltip="Click to view descriptive table" display="Primary transportation" xr:uid="{00000000-0004-0000-0200-000002000000}"/>
    <hyperlink ref="C67" location="'Quick Reference Guide'!A69" tooltip="Click to view descriptive table" display="Multiple handling / waste transfer" xr:uid="{00000000-0004-0000-0200-000003000000}"/>
    <hyperlink ref="C68" location="'Quick Reference Guide'!A100" tooltip="Click to view descriptive table" display="Collection method" xr:uid="{00000000-0004-0000-0200-000004000000}"/>
    <hyperlink ref="C69" location="'Quick Reference Guide'!A107" tooltip="Click to view descriptive table" display="Transportation method" xr:uid="{00000000-0004-0000-0200-000005000000}"/>
    <hyperlink ref="C71" location="'Quick Reference Guide'!A144" tooltip="Click to view descriptive table" display="Disposal of non-recyclables" xr:uid="{00000000-0004-0000-0200-000006000000}"/>
    <hyperlink ref="C73" location="'Quick Reference Guide'!A182" tooltip="Click to view descriptive table" display="Disposal of non-recyclables" xr:uid="{00000000-0004-0000-0200-000007000000}"/>
    <hyperlink ref="C77" location="'Quick Reference Guide'!A273" tooltip="Click to view descriptive table" display="Environmental hazards" xr:uid="{00000000-0004-0000-0200-000008000000}"/>
    <hyperlink ref="C78" location="'Quick Reference Guide'!A284" tooltip="Click to view descriptive table" display="Exposure to weather" xr:uid="{00000000-0004-0000-0200-000009000000}"/>
    <hyperlink ref="C79" location="'Quick Reference Guide'!A291" tooltip="Click to view descriptive table" display="Waste handling" xr:uid="{00000000-0004-0000-0200-00000A000000}"/>
    <hyperlink ref="C80" location="'Quick Reference Guide'!A299" tooltip="Click to view descriptive table" display="Coverage" xr:uid="{00000000-0004-0000-0200-00000B000000}"/>
    <hyperlink ref="C81" location="'Quick Reference Guide'!A307" tooltip="Click to view descriptive table" display="Burning" xr:uid="{00000000-0004-0000-0200-00000C000000}"/>
    <hyperlink ref="C82" location="'Quick Reference Guide'!A318" tooltip="Click to view descriptive table" display="Fencing" xr:uid="{00000000-0004-0000-0200-00000D000000}"/>
    <hyperlink ref="C83" location="'Quick Reference Guide'!A344" tooltip="Click to view descriptive table" display="Frequency of rainfall / storm events" xr:uid="{00000000-0004-0000-0200-00000E000000}"/>
    <hyperlink ref="C84" location="'Quick Reference Guide'!A353" tooltip="Click to view descriptive table" display="Drain clean-up" xr:uid="{00000000-0004-0000-0200-00000F000000}"/>
    <hyperlink ref="B83:B84" location="'Quick Reference Guide'!A326" tooltip="Click for further information" display="Plastic waste in storm drains entering waterways" xr:uid="{00000000-0004-0000-0200-000010000000}"/>
    <hyperlink ref="B77:B82" location="'Quick Reference Guide'!A238" tooltip="Click for further information" display="Plastic waste leakage from designated disposal sites" xr:uid="{00000000-0004-0000-0200-000011000000}"/>
    <hyperlink ref="B72:B73" location="'Quick Reference Guide'!A155" tooltip="Click for further information" display="Plastic waste leakage during informal service chain sorting" xr:uid="{00000000-0004-0000-0200-000012000000}"/>
    <hyperlink ref="B70:B71" location="'Quick Reference Guide'!A118" tooltip="Click for further information" display="Plastic waste leakage during formal sorting" xr:uid="{00000000-0004-0000-0200-000013000000}"/>
    <hyperlink ref="B68:B69" location="'Quick Reference Guide'!A78" tooltip="Click for further information" display="Plastic waste leakage during informal value-chain  collection" xr:uid="{00000000-0004-0000-0200-000014000000}"/>
    <hyperlink ref="B64:B67" location="'Quick Reference Guide'!A1" tooltip="Click for further information" display="Plastic waste leakage from collection services" xr:uid="{00000000-0004-0000-0200-000015000000}"/>
    <hyperlink ref="C87" location="'Quick Reference Guide'!A394" tooltip="Click to view descriptive table" display="Level of plastic openly burnt" xr:uid="{00000000-0004-0000-0200-000016000000}"/>
    <hyperlink ref="C88" location="'Quick Reference Guide'!A405" tooltip="Click to view descriptive table" display="Level of direct dumping on land" xr:uid="{00000000-0004-0000-0200-000017000000}"/>
    <hyperlink ref="C89" location="'Quick Reference Guide'!A427" tooltip="Click to view descriptive table" display="Level of direct dumping in drains" xr:uid="{00000000-0004-0000-0200-000018000000}"/>
    <hyperlink ref="C90" location="'Quick Reference Guide'!A449" tooltip="Click to view descriptive table" display="Level of direct dumping in water systems" xr:uid="{00000000-0004-0000-0200-000019000000}"/>
    <hyperlink ref="C91" location="'Quick Reference Guide'!A480" tooltip="Click to view descriptive table" display="Level of plastic to land" xr:uid="{00000000-0004-0000-0200-00001A000000}"/>
    <hyperlink ref="C92" location="'Quick Reference Guide'!A501" tooltip="Click to view descriptive table" display="Level of plastic to drains" xr:uid="{00000000-0004-0000-0200-00001B000000}"/>
    <hyperlink ref="C93" location="'Quick Reference Guide'!A519" tooltip="Click to view descriptive table" display="Level of plastic to water systems" xr:uid="{00000000-0004-0000-0200-00001C000000}"/>
    <hyperlink ref="C94" location="'Quick Reference Guide'!A556" tooltip="Click to view descriptive table" display="Level of plastic openly burnt" xr:uid="{00000000-0004-0000-0200-00001D000000}"/>
    <hyperlink ref="C95" location="'Quick Reference Guide'!A566" tooltip="Click to view descriptive table" display="Level of direct dumping on land" xr:uid="{00000000-0004-0000-0200-00001E000000}"/>
    <hyperlink ref="C96" location="'Quick Reference Guide'!A588" tooltip="Click to view descriptive table" display="Level of direct dumping in drains" xr:uid="{00000000-0004-0000-0200-00001F000000}"/>
    <hyperlink ref="C97" location="'Quick Reference Guide'!A604" tooltip="Click to view descriptive table" display="Level of direct dumping to water systems" xr:uid="{00000000-0004-0000-0200-000020000000}"/>
    <hyperlink ref="C102" location="'Quick Reference Guide'!A640" tooltip="Click to view descriptive table" display="Level of plastic to land" xr:uid="{00000000-0004-0000-0200-000021000000}"/>
    <hyperlink ref="C103" location="'Quick Reference Guide'!A659" tooltip="Click to view descriptive table" display="Level of plastic to drains" xr:uid="{00000000-0004-0000-0200-000022000000}"/>
    <hyperlink ref="C104" location="'Quick Reference Guide'!A677" tooltip="Click to view descriptive table" display="Level of plastic to water systems" xr:uid="{00000000-0004-0000-0200-000023000000}"/>
    <hyperlink ref="G87:G90" location="'Quick Reference Guide'!A372" tooltip="Click to view decision tree and descriptive tables" display="Please refer to the &quot;Diffuse voluntary&quot; fate decision tree within the user manual or quick reference guide to allocate a value based on the descriptions given. " xr:uid="{00000000-0004-0000-0200-000024000000}"/>
    <hyperlink ref="G91:G93" location="'Quick Reference Guide'!A460" tooltip="Click to view decision tree and descriptive tables" display="Please refer to the &quot;Diffuse involuntary&quot; fate decision tree within the user manual or quick reference guide to allocate a value based on the descriptions given." xr:uid="{00000000-0004-0000-0200-000025000000}"/>
    <hyperlink ref="G94:G97" location="'Quick Reference Guide'!A530" tooltip="Click to view decision tree and descriptive tables" display="Please refer to the &quot;Point-source voluntary&quot; fate decision tree within the user manual or quick reference guide to allocate a value based on the descriptions given. The normalised fate percentage is with respect to only the portion of waste voluntarily le" xr:uid="{00000000-0004-0000-0200-000026000000}"/>
    <hyperlink ref="G102:G104" location="'Quick Reference Guide'!A614" tooltip="Click to view decision tree and descriptive tables" display="Please refer to the &quot;Point-source involuntary&quot; fate decision tree within the user manual or quick reference guide to allocate a value based on the descriptions given." xr:uid="{00000000-0004-0000-0200-000027000000}"/>
    <hyperlink ref="F59:G61" location="'Quick Reference Guide'!A689" tooltip="Click to view" display="Please refer to quick guide or user manual for instructions on what is to be counted as &quot;managed in controlled facilities&quot; and how to measure these." xr:uid="{00000000-0004-0000-0200-000028000000}"/>
    <hyperlink ref="F64:G67" location="'Quick Reference Guide'!A1" tooltip="Click to view decision tree and descriptive tables" display="Please refer to the &quot;Leakage from collection services&quot; leakage decision tree within the user manual or quick reference guide to allocate a value based on the descriptions given. " xr:uid="{00000000-0004-0000-0200-000029000000}"/>
    <hyperlink ref="F68:G69" location="'Quick Reference Guide'!A78" tooltip="Click to view decision tree and descriptive tables" display="Please refer to the &quot;Leakage from informal collection&quot; leakage decision tree within the user manual or quick reference guide to allocate a value based on the descriptions given." xr:uid="{00000000-0004-0000-0200-00002A000000}"/>
    <hyperlink ref="F70:G71" location="'Quick Reference Guide'!A118" tooltip="Click to view decision tree and descriptive tables" display="Please refer to the &quot;Leakage from formal sorting&quot; leakage decision tree within the user manual to allocate a value based on the descriptions given." xr:uid="{00000000-0004-0000-0200-00002B000000}"/>
    <hyperlink ref="F72:G73" location="'Quick Reference Guide'!A155" tooltip="Click to view decision tree and descriptive tables" display="Please refer to the &quot;Leakage from informal sorting&quot; leakage decision tree within the user manual or quick reference guide to allocate a value based on the descriptions given." xr:uid="{00000000-0004-0000-0200-00002C000000}"/>
    <hyperlink ref="F74:G76" location="'Quick Reference Guide'!A194" tooltip="Click to view decision tree and descriptive tables" display="Please refer to the &quot;Leakage from transportation&quot; leakage decision tree within the user manual or quick reference guide to allocate a value based on the descriptions given." xr:uid="{00000000-0004-0000-0200-00002D000000}"/>
    <hyperlink ref="F77:G82" location="'Quick Reference Guide'!A238" tooltip="Click to view decision tree and descriptive tables" display="Please refer to the &quot;Leakage from disposal&quot; leakage decision tree within the user manual or quick reference guide to allocate a value based on the descriptions given." xr:uid="{00000000-0004-0000-0200-00002E000000}"/>
    <hyperlink ref="F83:G84" location="'Quick Reference Guide'!A326" tooltip="Click to view decision tree and descriptive tables" display="Please refer to the &quot;drain retention&quot; leakage decision tree within the user manual or quick reference guide to allocate a value based on the descriptions given." xr:uid="{00000000-0004-0000-0200-00002F000000}"/>
    <hyperlink ref="B87:B90" location="'Quick Reference Guide'!A372" tooltip="Click for further information" display="Fate of uncollected plastic waste" xr:uid="{00000000-0004-0000-0200-000030000000}"/>
    <hyperlink ref="B91:B93" location="'Quick Reference Guide'!A460" tooltip="Click for further information" display="Fate of plastic waste leaked during collection and transportation" xr:uid="{00000000-0004-0000-0200-000031000000}"/>
    <hyperlink ref="B94:B97" location="'Quick Reference Guide'!A530" tooltip="Click for further information" display="Fate of plastic waste leaked from formal sorting" xr:uid="{00000000-0004-0000-0200-000032000000}"/>
    <hyperlink ref="C98" location="'Quick Reference Guide'!A556" tooltip="Click to view descriptive table" display="Level of plastic openly burnt" xr:uid="{00000000-0004-0000-0200-000033000000}"/>
    <hyperlink ref="C99" location="'Quick Reference Guide'!A566" tooltip="Click to view descriptive table" display="Level of direct dumping on land" xr:uid="{00000000-0004-0000-0200-000034000000}"/>
    <hyperlink ref="C100" location="'Quick Reference Guide'!A588" tooltip="Click to view descriptive table" display="Level of direct dumping in drains" xr:uid="{00000000-0004-0000-0200-000035000000}"/>
    <hyperlink ref="C101" location="'Quick Reference Guide'!A604" tooltip="Click to view descriptive table" display="Level of direct dumping to water systems" xr:uid="{00000000-0004-0000-0200-000036000000}"/>
    <hyperlink ref="B98:B101" location="'Quick Reference Guide'!A530" tooltip="Click for further information" display="Fate of plastic waste leaked from formal sorting" xr:uid="{00000000-0004-0000-0200-000037000000}"/>
    <hyperlink ref="G98:G101" location="'Quick Reference Guide'!A530" tooltip="Click to view decision tree and descriptive tables" display="Please refer to the &quot;Point-source voluntary&quot; fate decision tree within the user manual or quick reference guide to allocate a value based on the descriptions given. The normalised fate percentage is with respect to only the portion of waste voluntarily le" xr:uid="{00000000-0004-0000-0200-000038000000}"/>
    <hyperlink ref="B102:B104" location="'Quick Reference Guide'!A614" tooltip="Click for further information" display="Fate of plastic waste leaked from designated disposal sites" xr:uid="{00000000-0004-0000-0200-000039000000}"/>
    <hyperlink ref="C74" location="'Quick Reference Guide'!A215" tooltip="Click to view descriptive table" display="Capacity vs load" xr:uid="{00000000-0004-0000-0200-00003A000000}"/>
    <hyperlink ref="C75" location="'Quick Reference Guide'!A222" tooltip="Click to view descriptive table" display="Waste containment" xr:uid="{00000000-0004-0000-0200-00003B000000}"/>
    <hyperlink ref="C76" location="'Quick Reference Guide'!A230" tooltip="Click to view descriptive table" display="Vehicle cover" xr:uid="{00000000-0004-0000-0200-00003C000000}"/>
  </hyperlinks>
  <pageMargins left="0.25" right="0.25" top="0.75" bottom="0.75" header="0.3" footer="0.3"/>
  <pageSetup paperSize="9" orientation="landscape" r:id="rId1"/>
  <headerFooter>
    <oddFooter>&amp;C&amp;P</oddFooter>
  </headerFooter>
  <ignoredErrors>
    <ignoredError sqref="F87"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7CE"/>
  </sheetPr>
  <dimension ref="A1:R172"/>
  <sheetViews>
    <sheetView showGridLines="0" showRowColHeaders="0" zoomScaleNormal="100" workbookViewId="0"/>
  </sheetViews>
  <sheetFormatPr baseColWidth="10" defaultColWidth="10.875" defaultRowHeight="15.75" x14ac:dyDescent="0.25"/>
  <cols>
    <col min="1" max="1" width="5.125" style="91" customWidth="1"/>
    <col min="2" max="2" width="19.75" style="92" customWidth="1"/>
    <col min="3" max="3" width="35.375" style="92" customWidth="1"/>
    <col min="4" max="4" width="15.625" style="93" customWidth="1"/>
    <col min="5" max="5" width="12.625" style="93" customWidth="1"/>
    <col min="6" max="8" width="12.625" style="94" customWidth="1"/>
    <col min="9" max="10" width="50.625" style="92" customWidth="1"/>
    <col min="11" max="16384" width="10.875" style="94"/>
  </cols>
  <sheetData>
    <row r="1" spans="1:11" ht="21" x14ac:dyDescent="0.25">
      <c r="A1" s="45" t="s">
        <v>97</v>
      </c>
      <c r="B1" s="26"/>
      <c r="E1" s="94"/>
    </row>
    <row r="2" spans="1:11" ht="21" x14ac:dyDescent="0.25">
      <c r="A2" s="45"/>
      <c r="B2" s="35" t="s">
        <v>1</v>
      </c>
      <c r="E2" s="94"/>
    </row>
    <row r="3" spans="1:11" x14ac:dyDescent="0.25">
      <c r="A3" s="28"/>
      <c r="B3" s="36" t="s">
        <v>2</v>
      </c>
      <c r="E3" s="94"/>
    </row>
    <row r="4" spans="1:11" x14ac:dyDescent="0.25">
      <c r="A4" s="28"/>
      <c r="B4" s="37" t="s">
        <v>3</v>
      </c>
      <c r="E4" s="94"/>
    </row>
    <row r="5" spans="1:11" ht="15.75" customHeight="1" x14ac:dyDescent="0.25">
      <c r="A5" s="28"/>
      <c r="B5" s="38" t="s">
        <v>4</v>
      </c>
      <c r="E5" s="94"/>
    </row>
    <row r="6" spans="1:11" ht="15.75" customHeight="1" x14ac:dyDescent="0.25">
      <c r="A6" s="28"/>
      <c r="B6" s="39" t="s">
        <v>5</v>
      </c>
      <c r="E6" s="94"/>
    </row>
    <row r="7" spans="1:11" ht="15.75" customHeight="1" x14ac:dyDescent="0.25">
      <c r="A7" s="28"/>
      <c r="B7" s="437" t="s">
        <v>591</v>
      </c>
      <c r="E7" s="94"/>
    </row>
    <row r="8" spans="1:11" ht="15.75" customHeight="1" x14ac:dyDescent="0.25">
      <c r="A8" s="47"/>
      <c r="B8" s="26"/>
      <c r="E8" s="94"/>
    </row>
    <row r="9" spans="1:11" ht="15.75" customHeight="1" thickBot="1" x14ac:dyDescent="0.3">
      <c r="A9" s="25" t="s">
        <v>6</v>
      </c>
      <c r="B9" s="26"/>
      <c r="C9" s="26"/>
      <c r="D9" s="27"/>
      <c r="E9" s="27"/>
      <c r="F9" s="28"/>
      <c r="G9" s="28"/>
      <c r="H9" s="28"/>
      <c r="I9" s="27"/>
      <c r="J9" s="46" t="s">
        <v>7</v>
      </c>
    </row>
    <row r="10" spans="1:11" x14ac:dyDescent="0.25">
      <c r="A10" s="29" t="s">
        <v>8</v>
      </c>
      <c r="B10" s="30"/>
      <c r="C10" s="30"/>
      <c r="D10" s="31"/>
      <c r="E10" s="32" t="s">
        <v>98</v>
      </c>
      <c r="F10" s="32" t="s">
        <v>99</v>
      </c>
      <c r="G10" s="32" t="s">
        <v>100</v>
      </c>
      <c r="H10" s="32" t="s">
        <v>101</v>
      </c>
      <c r="I10" s="30"/>
      <c r="J10" s="127"/>
    </row>
    <row r="11" spans="1:11" x14ac:dyDescent="0.25">
      <c r="A11" s="48" t="s">
        <v>11</v>
      </c>
      <c r="B11" s="408" t="s">
        <v>12</v>
      </c>
      <c r="C11" s="49" t="s">
        <v>13</v>
      </c>
      <c r="D11" s="50" t="s">
        <v>14</v>
      </c>
      <c r="E11" s="51" t="s">
        <v>15</v>
      </c>
      <c r="F11" s="51" t="s">
        <v>15</v>
      </c>
      <c r="G11" s="51" t="s">
        <v>15</v>
      </c>
      <c r="H11" s="51" t="s">
        <v>15</v>
      </c>
      <c r="I11" s="407" t="s">
        <v>102</v>
      </c>
      <c r="J11" s="386" t="s">
        <v>17</v>
      </c>
    </row>
    <row r="12" spans="1:11" ht="25.5" x14ac:dyDescent="0.25">
      <c r="A12" s="53">
        <v>1</v>
      </c>
      <c r="B12" s="410" t="s">
        <v>18</v>
      </c>
      <c r="C12" s="54" t="s">
        <v>19</v>
      </c>
      <c r="D12" s="55" t="s">
        <v>20</v>
      </c>
      <c r="E12" s="128">
        <f>'Baseline data entry'!E12</f>
        <v>0</v>
      </c>
      <c r="F12" s="8"/>
      <c r="G12" s="8"/>
      <c r="H12" s="8"/>
      <c r="I12" s="409" t="s">
        <v>103</v>
      </c>
      <c r="J12" s="116"/>
    </row>
    <row r="13" spans="1:11" ht="142.5" customHeight="1" x14ac:dyDescent="0.25">
      <c r="A13" s="56">
        <v>2</v>
      </c>
      <c r="B13" s="410" t="s">
        <v>23</v>
      </c>
      <c r="C13" s="54" t="s">
        <v>24</v>
      </c>
      <c r="D13" s="55" t="s">
        <v>25</v>
      </c>
      <c r="E13" s="129">
        <f>'Baseline data entry'!E13</f>
        <v>0</v>
      </c>
      <c r="F13" s="9"/>
      <c r="G13" s="9"/>
      <c r="H13" s="9"/>
      <c r="I13" s="22" t="s">
        <v>338</v>
      </c>
      <c r="J13" s="117"/>
      <c r="K13" s="94" t="s">
        <v>27</v>
      </c>
    </row>
    <row r="14" spans="1:11" ht="27" customHeight="1" x14ac:dyDescent="0.25">
      <c r="A14" s="57">
        <v>3.1</v>
      </c>
      <c r="B14" s="786" t="s">
        <v>28</v>
      </c>
      <c r="C14" s="58" t="s">
        <v>29</v>
      </c>
      <c r="D14" s="59" t="s">
        <v>30</v>
      </c>
      <c r="E14" s="130">
        <f>'Baseline data entry'!E14</f>
        <v>0</v>
      </c>
      <c r="F14" s="17"/>
      <c r="G14" s="17"/>
      <c r="H14" s="17"/>
      <c r="I14" s="765" t="s">
        <v>104</v>
      </c>
      <c r="J14" s="118"/>
    </row>
    <row r="15" spans="1:11" ht="27" customHeight="1" x14ac:dyDescent="0.25">
      <c r="A15" s="57">
        <v>3.2</v>
      </c>
      <c r="B15" s="786"/>
      <c r="C15" s="58" t="s">
        <v>32</v>
      </c>
      <c r="D15" s="59" t="s">
        <v>30</v>
      </c>
      <c r="E15" s="130">
        <f>'Baseline data entry'!E15</f>
        <v>0</v>
      </c>
      <c r="F15" s="17"/>
      <c r="G15" s="17"/>
      <c r="H15" s="17"/>
      <c r="I15" s="767"/>
      <c r="J15" s="119"/>
    </row>
    <row r="16" spans="1:11" ht="27" customHeight="1" x14ac:dyDescent="0.25">
      <c r="A16" s="57">
        <v>3.3</v>
      </c>
      <c r="B16" s="786"/>
      <c r="C16" s="58" t="s">
        <v>33</v>
      </c>
      <c r="D16" s="59" t="s">
        <v>30</v>
      </c>
      <c r="E16" s="130">
        <f>'Baseline data entry'!E16</f>
        <v>0</v>
      </c>
      <c r="F16" s="17"/>
      <c r="G16" s="17"/>
      <c r="H16" s="17"/>
      <c r="I16" s="767"/>
      <c r="J16" s="119"/>
    </row>
    <row r="17" spans="1:16" ht="27" customHeight="1" x14ac:dyDescent="0.25">
      <c r="A17" s="57">
        <v>3.4</v>
      </c>
      <c r="B17" s="786"/>
      <c r="C17" s="58" t="s">
        <v>34</v>
      </c>
      <c r="D17" s="59" t="s">
        <v>30</v>
      </c>
      <c r="E17" s="130">
        <f>'Baseline data entry'!E17</f>
        <v>0</v>
      </c>
      <c r="F17" s="17"/>
      <c r="G17" s="17"/>
      <c r="H17" s="17"/>
      <c r="I17" s="767"/>
      <c r="J17" s="119"/>
    </row>
    <row r="18" spans="1:16" ht="27" customHeight="1" x14ac:dyDescent="0.25">
      <c r="A18" s="57">
        <v>3.5</v>
      </c>
      <c r="B18" s="786"/>
      <c r="C18" s="58" t="s">
        <v>35</v>
      </c>
      <c r="D18" s="59" t="s">
        <v>30</v>
      </c>
      <c r="E18" s="130">
        <f>'Baseline data entry'!E18</f>
        <v>0</v>
      </c>
      <c r="F18" s="17"/>
      <c r="G18" s="17"/>
      <c r="H18" s="17"/>
      <c r="I18" s="767"/>
      <c r="J18" s="119"/>
    </row>
    <row r="19" spans="1:16" ht="27" customHeight="1" x14ac:dyDescent="0.25">
      <c r="A19" s="57">
        <v>3.6</v>
      </c>
      <c r="B19" s="786"/>
      <c r="C19" s="58" t="s">
        <v>36</v>
      </c>
      <c r="D19" s="59" t="s">
        <v>30</v>
      </c>
      <c r="E19" s="130">
        <f>'Baseline data entry'!E19</f>
        <v>0</v>
      </c>
      <c r="F19" s="17"/>
      <c r="G19" s="17"/>
      <c r="H19" s="17"/>
      <c r="I19" s="769"/>
      <c r="J19" s="120"/>
    </row>
    <row r="20" spans="1:16" x14ac:dyDescent="0.25">
      <c r="A20" s="60" t="s">
        <v>37</v>
      </c>
      <c r="B20" s="786"/>
      <c r="C20" s="61" t="s">
        <v>38</v>
      </c>
      <c r="D20" s="62" t="s">
        <v>39</v>
      </c>
      <c r="E20" s="24">
        <f t="shared" ref="E20:G20" si="0">SUM(E14:E19)</f>
        <v>0</v>
      </c>
      <c r="F20" s="24">
        <f t="shared" si="0"/>
        <v>0</v>
      </c>
      <c r="G20" s="24">
        <f t="shared" si="0"/>
        <v>0</v>
      </c>
      <c r="H20" s="24">
        <f t="shared" ref="H20" si="1">SUM(H14:H19)</f>
        <v>0</v>
      </c>
      <c r="I20" s="23" t="s">
        <v>40</v>
      </c>
      <c r="J20" s="131"/>
    </row>
    <row r="21" spans="1:16" ht="18.75" x14ac:dyDescent="0.25">
      <c r="A21" s="63" t="s">
        <v>105</v>
      </c>
      <c r="B21" s="64"/>
      <c r="C21" s="132"/>
      <c r="D21" s="132"/>
      <c r="E21" s="132" t="s">
        <v>98</v>
      </c>
      <c r="F21" s="132" t="s">
        <v>99</v>
      </c>
      <c r="G21" s="132" t="s">
        <v>100</v>
      </c>
      <c r="H21" s="132" t="s">
        <v>101</v>
      </c>
      <c r="I21" s="65"/>
      <c r="J21" s="387"/>
    </row>
    <row r="22" spans="1:16" x14ac:dyDescent="0.25">
      <c r="A22" s="48" t="s">
        <v>11</v>
      </c>
      <c r="B22" s="408" t="s">
        <v>12</v>
      </c>
      <c r="C22" s="49" t="s">
        <v>13</v>
      </c>
      <c r="D22" s="50" t="s">
        <v>14</v>
      </c>
      <c r="E22" s="51" t="s">
        <v>15</v>
      </c>
      <c r="F22" s="51" t="s">
        <v>15</v>
      </c>
      <c r="G22" s="51" t="s">
        <v>15</v>
      </c>
      <c r="H22" s="51" t="s">
        <v>15</v>
      </c>
      <c r="I22" s="407" t="s">
        <v>102</v>
      </c>
      <c r="J22" s="386" t="s">
        <v>17</v>
      </c>
      <c r="N22" s="104"/>
    </row>
    <row r="23" spans="1:16" ht="51" x14ac:dyDescent="0.25">
      <c r="A23" s="68">
        <v>4.0999999999999996</v>
      </c>
      <c r="B23" s="561" t="s">
        <v>106</v>
      </c>
      <c r="C23" s="58" t="s">
        <v>684</v>
      </c>
      <c r="D23" s="727" t="s">
        <v>757</v>
      </c>
      <c r="E23" s="712" t="e">
        <f>SUM('Baseline data entry'!E23:E40)/(('Baseline data entry'!$E$12*'Baseline data entry'!$E$13)/1000)</f>
        <v>#DIV/0!</v>
      </c>
      <c r="F23" s="714"/>
      <c r="G23" s="550"/>
      <c r="H23" s="550"/>
      <c r="I23" s="563" t="s">
        <v>109</v>
      </c>
      <c r="J23" s="121"/>
      <c r="L23" s="97"/>
      <c r="M23" s="98"/>
    </row>
    <row r="24" spans="1:16" ht="15.75" customHeight="1" x14ac:dyDescent="0.25">
      <c r="A24" s="68">
        <v>5.0999999999999996</v>
      </c>
      <c r="B24" s="787" t="s">
        <v>312</v>
      </c>
      <c r="C24" s="58" t="s">
        <v>29</v>
      </c>
      <c r="D24" s="780" t="s">
        <v>108</v>
      </c>
      <c r="E24" s="711" t="e">
        <f>Calculations!C192/((($E$12*$E$13*E14)/1000)*365)</f>
        <v>#DIV/0!</v>
      </c>
      <c r="F24" s="715"/>
      <c r="G24" s="715"/>
      <c r="H24" s="715"/>
      <c r="I24" s="771" t="s">
        <v>110</v>
      </c>
      <c r="J24" s="121"/>
      <c r="K24" s="99"/>
      <c r="L24" s="100"/>
      <c r="M24" s="100"/>
      <c r="N24" s="100"/>
      <c r="O24" s="100"/>
      <c r="P24" s="100"/>
    </row>
    <row r="25" spans="1:16" x14ac:dyDescent="0.25">
      <c r="A25" s="68">
        <v>5.2</v>
      </c>
      <c r="B25" s="788"/>
      <c r="C25" s="58" t="s">
        <v>32</v>
      </c>
      <c r="D25" s="781"/>
      <c r="E25" s="711" t="e">
        <f>Calculations!C193/((($E$12*$E$13*E15)/1000)*365)</f>
        <v>#N/A</v>
      </c>
      <c r="F25" s="715"/>
      <c r="G25" s="715"/>
      <c r="H25" s="715"/>
      <c r="I25" s="773"/>
      <c r="J25" s="122"/>
      <c r="L25" s="100"/>
      <c r="M25" s="100"/>
      <c r="N25" s="100"/>
      <c r="O25" s="100"/>
      <c r="P25" s="100"/>
    </row>
    <row r="26" spans="1:16" x14ac:dyDescent="0.25">
      <c r="A26" s="68">
        <v>5.3</v>
      </c>
      <c r="B26" s="788"/>
      <c r="C26" s="58" t="s">
        <v>33</v>
      </c>
      <c r="D26" s="781"/>
      <c r="E26" s="711" t="e">
        <f>Calculations!C194/((($E$12*$E$13*E16)/1000)*365)</f>
        <v>#DIV/0!</v>
      </c>
      <c r="F26" s="715"/>
      <c r="G26" s="715"/>
      <c r="H26" s="715"/>
      <c r="I26" s="773"/>
      <c r="J26" s="122"/>
      <c r="L26" s="100"/>
      <c r="M26" s="100"/>
      <c r="N26" s="100"/>
      <c r="O26" s="100"/>
      <c r="P26" s="100"/>
    </row>
    <row r="27" spans="1:16" x14ac:dyDescent="0.25">
      <c r="A27" s="68">
        <v>5.4</v>
      </c>
      <c r="B27" s="788"/>
      <c r="C27" s="58" t="s">
        <v>34</v>
      </c>
      <c r="D27" s="781"/>
      <c r="E27" s="711" t="e">
        <f>Calculations!C195/((($E$12*$E$13*E17)/1000)*365)</f>
        <v>#DIV/0!</v>
      </c>
      <c r="F27" s="715"/>
      <c r="G27" s="715"/>
      <c r="H27" s="715"/>
      <c r="I27" s="773"/>
      <c r="J27" s="122"/>
      <c r="K27" s="101"/>
      <c r="L27" s="100"/>
      <c r="M27" s="100"/>
      <c r="N27" s="100"/>
      <c r="O27" s="100"/>
      <c r="P27" s="100"/>
    </row>
    <row r="28" spans="1:16" x14ac:dyDescent="0.25">
      <c r="A28" s="68">
        <v>5.5</v>
      </c>
      <c r="B28" s="788"/>
      <c r="C28" s="58" t="s">
        <v>35</v>
      </c>
      <c r="D28" s="781"/>
      <c r="E28" s="711" t="e">
        <f>Calculations!C196/((($E$12*$E$13*E18)/1000)*365)</f>
        <v>#DIV/0!</v>
      </c>
      <c r="F28" s="715"/>
      <c r="G28" s="715"/>
      <c r="H28" s="715"/>
      <c r="I28" s="773"/>
      <c r="J28" s="122"/>
      <c r="L28" s="100"/>
      <c r="M28" s="100"/>
      <c r="N28" s="100"/>
      <c r="O28" s="100"/>
      <c r="P28" s="100"/>
    </row>
    <row r="29" spans="1:16" x14ac:dyDescent="0.25">
      <c r="A29" s="68">
        <v>5.6</v>
      </c>
      <c r="B29" s="789"/>
      <c r="C29" s="404" t="s">
        <v>36</v>
      </c>
      <c r="D29" s="782"/>
      <c r="E29" s="711" t="e">
        <f>Calculations!C197/((($E$12*$E$13*E19)/1000)*365)</f>
        <v>#DIV/0!</v>
      </c>
      <c r="F29" s="715"/>
      <c r="G29" s="715"/>
      <c r="H29" s="715"/>
      <c r="I29" s="775"/>
      <c r="J29" s="123"/>
      <c r="K29" s="104"/>
      <c r="L29" s="100"/>
      <c r="M29" s="100"/>
      <c r="N29" s="100"/>
      <c r="O29" s="100"/>
      <c r="P29" s="100"/>
    </row>
    <row r="30" spans="1:16" ht="15.75" customHeight="1" x14ac:dyDescent="0.25">
      <c r="A30" s="68">
        <v>6.1</v>
      </c>
      <c r="B30" s="787" t="s">
        <v>313</v>
      </c>
      <c r="C30" s="58" t="s">
        <v>29</v>
      </c>
      <c r="D30" s="825" t="s">
        <v>48</v>
      </c>
      <c r="E30" s="712">
        <f>IFERROR('Baseline data entry'!E29/('Baseline data entry'!E23+'Baseline data entry'!E29+'Baseline data entry'!E35),0)</f>
        <v>0</v>
      </c>
      <c r="F30" s="715"/>
      <c r="G30" s="715"/>
      <c r="H30" s="715"/>
      <c r="I30" s="771" t="s">
        <v>111</v>
      </c>
      <c r="J30" s="121"/>
      <c r="K30" s="104"/>
      <c r="L30" s="100"/>
      <c r="M30" s="100"/>
      <c r="N30" s="100"/>
      <c r="O30" s="100"/>
      <c r="P30" s="100"/>
    </row>
    <row r="31" spans="1:16" x14ac:dyDescent="0.25">
      <c r="A31" s="68">
        <v>6.2</v>
      </c>
      <c r="B31" s="788"/>
      <c r="C31" s="58" t="s">
        <v>32</v>
      </c>
      <c r="D31" s="826"/>
      <c r="E31" s="712">
        <f>IFERROR('Baseline data entry'!E30/('Baseline data entry'!E24+'Baseline data entry'!E30+'Baseline data entry'!E36),0)</f>
        <v>0</v>
      </c>
      <c r="F31" s="715"/>
      <c r="G31" s="715"/>
      <c r="H31" s="715"/>
      <c r="I31" s="773"/>
      <c r="J31" s="122"/>
      <c r="K31" s="104"/>
      <c r="L31" s="100"/>
      <c r="M31" s="100"/>
      <c r="N31" s="100"/>
      <c r="O31" s="100"/>
      <c r="P31" s="100"/>
    </row>
    <row r="32" spans="1:16" x14ac:dyDescent="0.25">
      <c r="A32" s="68">
        <v>6.3</v>
      </c>
      <c r="B32" s="788"/>
      <c r="C32" s="58" t="s">
        <v>33</v>
      </c>
      <c r="D32" s="826"/>
      <c r="E32" s="712">
        <f>IFERROR('Baseline data entry'!E31/('Baseline data entry'!E25+'Baseline data entry'!E31+'Baseline data entry'!E37),0)</f>
        <v>0</v>
      </c>
      <c r="F32" s="715"/>
      <c r="G32" s="715"/>
      <c r="H32" s="715"/>
      <c r="I32" s="773"/>
      <c r="J32" s="122"/>
      <c r="K32" s="104"/>
      <c r="L32" s="100"/>
      <c r="M32" s="100"/>
      <c r="N32" s="100"/>
      <c r="O32" s="100"/>
      <c r="P32" s="100"/>
    </row>
    <row r="33" spans="1:16" x14ac:dyDescent="0.25">
      <c r="A33" s="68">
        <v>6.4</v>
      </c>
      <c r="B33" s="788"/>
      <c r="C33" s="58" t="s">
        <v>34</v>
      </c>
      <c r="D33" s="826"/>
      <c r="E33" s="712">
        <f>IFERROR('Baseline data entry'!E32/('Baseline data entry'!E26+'Baseline data entry'!E32+'Baseline data entry'!E38),0)</f>
        <v>0</v>
      </c>
      <c r="F33" s="715"/>
      <c r="G33" s="715"/>
      <c r="H33" s="715"/>
      <c r="I33" s="773"/>
      <c r="J33" s="122"/>
      <c r="K33" s="104"/>
      <c r="L33" s="100"/>
      <c r="M33" s="100"/>
      <c r="N33" s="100"/>
      <c r="O33" s="100"/>
      <c r="P33" s="100"/>
    </row>
    <row r="34" spans="1:16" x14ac:dyDescent="0.25">
      <c r="A34" s="68">
        <v>6.5</v>
      </c>
      <c r="B34" s="788"/>
      <c r="C34" s="58" t="s">
        <v>35</v>
      </c>
      <c r="D34" s="826"/>
      <c r="E34" s="712">
        <f>IFERROR('Baseline data entry'!E33/('Baseline data entry'!E27+'Baseline data entry'!E33+'Baseline data entry'!E39),0)</f>
        <v>0</v>
      </c>
      <c r="F34" s="715"/>
      <c r="G34" s="715"/>
      <c r="H34" s="715"/>
      <c r="I34" s="773"/>
      <c r="J34" s="122"/>
      <c r="K34" s="104"/>
      <c r="L34" s="100"/>
      <c r="M34" s="100"/>
      <c r="N34" s="100"/>
      <c r="O34" s="100"/>
      <c r="P34" s="100"/>
    </row>
    <row r="35" spans="1:16" x14ac:dyDescent="0.25">
      <c r="A35" s="68">
        <v>6.6</v>
      </c>
      <c r="B35" s="789"/>
      <c r="C35" s="404" t="s">
        <v>36</v>
      </c>
      <c r="D35" s="827"/>
      <c r="E35" s="712">
        <f>IFERROR('Baseline data entry'!E34/('Baseline data entry'!E28+'Baseline data entry'!E34+'Baseline data entry'!E40),0)</f>
        <v>0</v>
      </c>
      <c r="F35" s="715"/>
      <c r="G35" s="715"/>
      <c r="H35" s="715"/>
      <c r="I35" s="775"/>
      <c r="J35" s="123"/>
      <c r="K35" s="104"/>
      <c r="L35" s="100"/>
      <c r="M35" s="100"/>
      <c r="N35" s="100"/>
      <c r="O35" s="100"/>
      <c r="P35" s="100"/>
    </row>
    <row r="36" spans="1:16" ht="15.75" customHeight="1" x14ac:dyDescent="0.25">
      <c r="A36" s="69">
        <v>7.1</v>
      </c>
      <c r="B36" s="828" t="s">
        <v>314</v>
      </c>
      <c r="C36" s="58" t="s">
        <v>29</v>
      </c>
      <c r="D36" s="825" t="s">
        <v>48</v>
      </c>
      <c r="E36" s="712">
        <f>IFERROR('Baseline data entry'!E35/('Baseline data entry'!E23+'Baseline data entry'!E29+'Baseline data entry'!E35),0)</f>
        <v>0</v>
      </c>
      <c r="F36" s="715"/>
      <c r="G36" s="715"/>
      <c r="H36" s="715"/>
      <c r="I36" s="771" t="s">
        <v>112</v>
      </c>
      <c r="J36" s="118"/>
      <c r="K36" s="104"/>
      <c r="L36" s="100"/>
      <c r="M36" s="100"/>
      <c r="N36" s="100"/>
      <c r="O36" s="100"/>
      <c r="P36" s="100"/>
    </row>
    <row r="37" spans="1:16" x14ac:dyDescent="0.25">
      <c r="A37" s="69">
        <v>7.2</v>
      </c>
      <c r="B37" s="829"/>
      <c r="C37" s="58" t="s">
        <v>32</v>
      </c>
      <c r="D37" s="826"/>
      <c r="E37" s="712">
        <f>IFERROR('Baseline data entry'!E36/('Baseline data entry'!E24+'Baseline data entry'!E30+'Baseline data entry'!E36),0)</f>
        <v>0</v>
      </c>
      <c r="F37" s="715"/>
      <c r="G37" s="715"/>
      <c r="H37" s="715"/>
      <c r="I37" s="773"/>
      <c r="J37" s="119"/>
      <c r="K37" s="104"/>
      <c r="L37" s="100"/>
      <c r="M37" s="100"/>
      <c r="N37" s="100"/>
      <c r="O37" s="100"/>
      <c r="P37" s="100"/>
    </row>
    <row r="38" spans="1:16" x14ac:dyDescent="0.25">
      <c r="A38" s="69">
        <v>7.3</v>
      </c>
      <c r="B38" s="829"/>
      <c r="C38" s="58" t="s">
        <v>33</v>
      </c>
      <c r="D38" s="826"/>
      <c r="E38" s="712">
        <f>IFERROR('Baseline data entry'!E37/('Baseline data entry'!E25+'Baseline data entry'!E31+'Baseline data entry'!E37),0)</f>
        <v>0</v>
      </c>
      <c r="F38" s="715"/>
      <c r="G38" s="715"/>
      <c r="H38" s="715"/>
      <c r="I38" s="773"/>
      <c r="J38" s="119"/>
      <c r="K38" s="124"/>
      <c r="L38" s="100"/>
      <c r="M38" s="100"/>
      <c r="N38" s="100"/>
      <c r="O38" s="100"/>
      <c r="P38" s="100"/>
    </row>
    <row r="39" spans="1:16" x14ac:dyDescent="0.25">
      <c r="A39" s="69">
        <v>7.4</v>
      </c>
      <c r="B39" s="829"/>
      <c r="C39" s="58" t="s">
        <v>34</v>
      </c>
      <c r="D39" s="826"/>
      <c r="E39" s="712">
        <f>IFERROR('Baseline data entry'!E38/('Baseline data entry'!E26+'Baseline data entry'!E32+'Baseline data entry'!E38),0)</f>
        <v>0</v>
      </c>
      <c r="F39" s="715"/>
      <c r="G39" s="715"/>
      <c r="H39" s="715"/>
      <c r="I39" s="773"/>
      <c r="J39" s="119"/>
      <c r="K39" s="104"/>
      <c r="L39" s="100"/>
      <c r="M39" s="100"/>
      <c r="N39" s="100"/>
      <c r="O39" s="100"/>
      <c r="P39" s="100"/>
    </row>
    <row r="40" spans="1:16" x14ac:dyDescent="0.25">
      <c r="A40" s="69">
        <v>7.5</v>
      </c>
      <c r="B40" s="829"/>
      <c r="C40" s="58" t="s">
        <v>35</v>
      </c>
      <c r="D40" s="826"/>
      <c r="E40" s="712">
        <f>IFERROR('Baseline data entry'!E39/('Baseline data entry'!E27+'Baseline data entry'!E33+'Baseline data entry'!E39),0)</f>
        <v>0</v>
      </c>
      <c r="F40" s="715"/>
      <c r="G40" s="715"/>
      <c r="H40" s="715"/>
      <c r="I40" s="773"/>
      <c r="J40" s="119"/>
      <c r="K40" s="104"/>
      <c r="L40" s="100"/>
      <c r="M40" s="100"/>
      <c r="N40" s="100"/>
      <c r="O40" s="100"/>
      <c r="P40" s="100"/>
    </row>
    <row r="41" spans="1:16" x14ac:dyDescent="0.25">
      <c r="A41" s="69">
        <v>7.6</v>
      </c>
      <c r="B41" s="830"/>
      <c r="C41" s="404" t="s">
        <v>36</v>
      </c>
      <c r="D41" s="827"/>
      <c r="E41" s="712">
        <f>IFERROR('Baseline data entry'!E40/('Baseline data entry'!E28+'Baseline data entry'!E34+'Baseline data entry'!E40),0)</f>
        <v>0</v>
      </c>
      <c r="F41" s="715"/>
      <c r="G41" s="715"/>
      <c r="H41" s="715"/>
      <c r="I41" s="775"/>
      <c r="J41" s="120"/>
      <c r="K41" s="104"/>
      <c r="L41" s="100"/>
      <c r="M41" s="100"/>
      <c r="N41" s="100"/>
      <c r="O41" s="100"/>
      <c r="P41" s="100"/>
    </row>
    <row r="42" spans="1:16" ht="15.75" customHeight="1" x14ac:dyDescent="0.25">
      <c r="A42" s="69">
        <v>8.1</v>
      </c>
      <c r="B42" s="787" t="s">
        <v>709</v>
      </c>
      <c r="C42" s="58" t="s">
        <v>29</v>
      </c>
      <c r="D42" s="825" t="s">
        <v>48</v>
      </c>
      <c r="E42" s="713">
        <f>IFERROR('Baseline data entry'!E23/('Baseline data entry'!E23+'Baseline data entry'!E29+'Baseline data entry'!E35),0)</f>
        <v>0</v>
      </c>
      <c r="F42" s="716"/>
      <c r="G42" s="716"/>
      <c r="H42" s="716"/>
      <c r="I42" s="771" t="s">
        <v>711</v>
      </c>
      <c r="J42" s="121"/>
      <c r="K42" s="104"/>
      <c r="L42" s="100"/>
      <c r="M42" s="100"/>
      <c r="N42" s="100"/>
      <c r="O42" s="100"/>
      <c r="P42" s="100"/>
    </row>
    <row r="43" spans="1:16" x14ac:dyDescent="0.25">
      <c r="A43" s="69">
        <v>8.1999999999999993</v>
      </c>
      <c r="B43" s="788"/>
      <c r="C43" s="58" t="s">
        <v>32</v>
      </c>
      <c r="D43" s="826"/>
      <c r="E43" s="713">
        <f>IFERROR('Baseline data entry'!E24/('Baseline data entry'!E24+'Baseline data entry'!E30+'Baseline data entry'!E36),0)</f>
        <v>0</v>
      </c>
      <c r="F43" s="716"/>
      <c r="G43" s="716"/>
      <c r="H43" s="716"/>
      <c r="I43" s="773"/>
      <c r="J43" s="122"/>
      <c r="K43" s="104"/>
      <c r="L43" s="100"/>
      <c r="M43" s="100"/>
      <c r="N43" s="100"/>
      <c r="O43" s="100"/>
      <c r="P43" s="100"/>
    </row>
    <row r="44" spans="1:16" x14ac:dyDescent="0.25">
      <c r="A44" s="69">
        <v>8.3000000000000007</v>
      </c>
      <c r="B44" s="788"/>
      <c r="C44" s="58" t="s">
        <v>33</v>
      </c>
      <c r="D44" s="826"/>
      <c r="E44" s="713">
        <f>IFERROR('Baseline data entry'!E25/('Baseline data entry'!E25+'Baseline data entry'!E31+'Baseline data entry'!E37),0)</f>
        <v>0</v>
      </c>
      <c r="F44" s="716"/>
      <c r="G44" s="716"/>
      <c r="H44" s="716"/>
      <c r="I44" s="773"/>
      <c r="J44" s="122"/>
      <c r="K44" s="104"/>
      <c r="L44" s="100"/>
      <c r="M44" s="100"/>
      <c r="N44" s="100"/>
      <c r="O44" s="100"/>
      <c r="P44" s="100"/>
    </row>
    <row r="45" spans="1:16" x14ac:dyDescent="0.25">
      <c r="A45" s="69">
        <v>8.4</v>
      </c>
      <c r="B45" s="788"/>
      <c r="C45" s="58" t="s">
        <v>34</v>
      </c>
      <c r="D45" s="826"/>
      <c r="E45" s="713">
        <f>IFERROR('Baseline data entry'!E26/('Baseline data entry'!E26+'Baseline data entry'!E32+'Baseline data entry'!E38),0)</f>
        <v>0</v>
      </c>
      <c r="F45" s="716"/>
      <c r="G45" s="716"/>
      <c r="H45" s="716"/>
      <c r="I45" s="773"/>
      <c r="J45" s="122"/>
      <c r="K45" s="104"/>
      <c r="L45" s="100"/>
      <c r="M45" s="100"/>
      <c r="N45" s="100"/>
      <c r="O45" s="100"/>
      <c r="P45" s="100"/>
    </row>
    <row r="46" spans="1:16" x14ac:dyDescent="0.25">
      <c r="A46" s="69">
        <v>8.5</v>
      </c>
      <c r="B46" s="788"/>
      <c r="C46" s="58" t="s">
        <v>35</v>
      </c>
      <c r="D46" s="826"/>
      <c r="E46" s="713">
        <f>IFERROR('Baseline data entry'!E27/('Baseline data entry'!E27+'Baseline data entry'!E33+'Baseline data entry'!E39),0)</f>
        <v>0</v>
      </c>
      <c r="F46" s="716"/>
      <c r="G46" s="716"/>
      <c r="H46" s="716"/>
      <c r="I46" s="773"/>
      <c r="J46" s="122"/>
      <c r="K46" s="104"/>
      <c r="L46" s="100"/>
      <c r="M46" s="100"/>
      <c r="N46" s="100"/>
      <c r="O46" s="100"/>
      <c r="P46" s="100"/>
    </row>
    <row r="47" spans="1:16" x14ac:dyDescent="0.25">
      <c r="A47" s="69">
        <v>8.6</v>
      </c>
      <c r="B47" s="789"/>
      <c r="C47" s="404" t="s">
        <v>36</v>
      </c>
      <c r="D47" s="827"/>
      <c r="E47" s="713">
        <f>IFERROR('Baseline data entry'!E28/('Baseline data entry'!E28+'Baseline data entry'!E34+'Baseline data entry'!E40),0)</f>
        <v>0</v>
      </c>
      <c r="F47" s="716"/>
      <c r="G47" s="716"/>
      <c r="H47" s="716"/>
      <c r="I47" s="775"/>
      <c r="J47" s="123"/>
      <c r="K47" s="104"/>
      <c r="L47" s="100"/>
      <c r="M47" s="100"/>
      <c r="N47" s="100"/>
      <c r="O47" s="100"/>
      <c r="P47" s="100"/>
    </row>
    <row r="48" spans="1:16" ht="36.75" customHeight="1" x14ac:dyDescent="0.25">
      <c r="A48" s="69">
        <v>9.1</v>
      </c>
      <c r="B48" s="787" t="s">
        <v>45</v>
      </c>
      <c r="C48" s="404" t="s">
        <v>636</v>
      </c>
      <c r="D48" s="55" t="s">
        <v>46</v>
      </c>
      <c r="E48" s="135">
        <f>'Baseline data entry'!E47</f>
        <v>0</v>
      </c>
      <c r="F48" s="384"/>
      <c r="G48" s="384"/>
      <c r="H48" s="384"/>
      <c r="I48" s="414" t="s">
        <v>638</v>
      </c>
      <c r="J48" s="122"/>
      <c r="K48" s="104"/>
      <c r="L48" s="100"/>
      <c r="M48" s="100"/>
      <c r="N48" s="100"/>
      <c r="O48" s="100"/>
      <c r="P48" s="100"/>
    </row>
    <row r="49" spans="1:17" ht="51" x14ac:dyDescent="0.25">
      <c r="A49" s="69">
        <v>9.1999999999999993</v>
      </c>
      <c r="B49" s="789"/>
      <c r="C49" s="404" t="s">
        <v>634</v>
      </c>
      <c r="D49" s="545" t="s">
        <v>635</v>
      </c>
      <c r="E49" s="134">
        <f>IFERROR('Baseline data entry'!E48,0)</f>
        <v>0</v>
      </c>
      <c r="F49" s="10"/>
      <c r="G49" s="10"/>
      <c r="H49" s="10"/>
      <c r="I49" s="414" t="s">
        <v>293</v>
      </c>
      <c r="J49" s="122"/>
      <c r="K49" s="104"/>
      <c r="L49" s="100"/>
      <c r="M49" s="100"/>
      <c r="N49" s="100"/>
      <c r="O49" s="100"/>
      <c r="P49" s="100"/>
    </row>
    <row r="50" spans="1:17" ht="15.75" customHeight="1" x14ac:dyDescent="0.25">
      <c r="A50" s="57" t="s">
        <v>37</v>
      </c>
      <c r="B50" s="803" t="s">
        <v>729</v>
      </c>
      <c r="C50" s="62" t="s">
        <v>29</v>
      </c>
      <c r="D50" s="806" t="s">
        <v>113</v>
      </c>
      <c r="E50" s="136">
        <f>E30+E36+E42</f>
        <v>0</v>
      </c>
      <c r="F50" s="136">
        <f>F30+F36+F42</f>
        <v>0</v>
      </c>
      <c r="G50" s="136">
        <f t="shared" ref="F50:H55" si="2">G30+G36+G42</f>
        <v>0</v>
      </c>
      <c r="H50" s="136">
        <f t="shared" si="2"/>
        <v>0</v>
      </c>
      <c r="I50" s="23" t="s">
        <v>40</v>
      </c>
      <c r="J50" s="137"/>
      <c r="L50" s="100"/>
      <c r="M50" s="100"/>
      <c r="N50" s="100"/>
      <c r="O50" s="100"/>
      <c r="P50" s="100"/>
    </row>
    <row r="51" spans="1:17" x14ac:dyDescent="0.25">
      <c r="A51" s="57" t="s">
        <v>37</v>
      </c>
      <c r="B51" s="804"/>
      <c r="C51" s="62" t="s">
        <v>32</v>
      </c>
      <c r="D51" s="807"/>
      <c r="E51" s="136">
        <f t="shared" ref="E51:E54" si="3">E31+E37+E43</f>
        <v>0</v>
      </c>
      <c r="F51" s="136">
        <f>F31+F37+F43</f>
        <v>0</v>
      </c>
      <c r="G51" s="136">
        <f t="shared" si="2"/>
        <v>0</v>
      </c>
      <c r="H51" s="136">
        <f t="shared" si="2"/>
        <v>0</v>
      </c>
      <c r="I51" s="23" t="s">
        <v>40</v>
      </c>
      <c r="J51" s="138"/>
      <c r="L51" s="100"/>
      <c r="M51" s="100"/>
      <c r="N51" s="100"/>
      <c r="O51" s="100"/>
      <c r="P51" s="100"/>
    </row>
    <row r="52" spans="1:17" x14ac:dyDescent="0.25">
      <c r="A52" s="57" t="s">
        <v>37</v>
      </c>
      <c r="B52" s="804"/>
      <c r="C52" s="62" t="s">
        <v>33</v>
      </c>
      <c r="D52" s="807"/>
      <c r="E52" s="136">
        <f t="shared" si="3"/>
        <v>0</v>
      </c>
      <c r="F52" s="136">
        <f t="shared" si="2"/>
        <v>0</v>
      </c>
      <c r="G52" s="136">
        <f t="shared" si="2"/>
        <v>0</v>
      </c>
      <c r="H52" s="136">
        <f t="shared" si="2"/>
        <v>0</v>
      </c>
      <c r="I52" s="23" t="s">
        <v>40</v>
      </c>
      <c r="J52" s="138"/>
      <c r="L52" s="100"/>
      <c r="M52" s="100"/>
      <c r="N52" s="100"/>
      <c r="O52" s="100"/>
      <c r="P52" s="100"/>
    </row>
    <row r="53" spans="1:17" x14ac:dyDescent="0.25">
      <c r="A53" s="57" t="s">
        <v>37</v>
      </c>
      <c r="B53" s="804"/>
      <c r="C53" s="62" t="s">
        <v>34</v>
      </c>
      <c r="D53" s="807"/>
      <c r="E53" s="136">
        <f t="shared" si="3"/>
        <v>0</v>
      </c>
      <c r="F53" s="136">
        <f t="shared" si="2"/>
        <v>0</v>
      </c>
      <c r="G53" s="136">
        <f t="shared" si="2"/>
        <v>0</v>
      </c>
      <c r="H53" s="136">
        <f t="shared" si="2"/>
        <v>0</v>
      </c>
      <c r="I53" s="23" t="s">
        <v>40</v>
      </c>
      <c r="J53" s="138"/>
      <c r="L53" s="100"/>
      <c r="M53" s="100"/>
      <c r="N53" s="100"/>
      <c r="O53" s="100"/>
      <c r="P53" s="100"/>
    </row>
    <row r="54" spans="1:17" x14ac:dyDescent="0.25">
      <c r="A54" s="57" t="s">
        <v>37</v>
      </c>
      <c r="B54" s="804"/>
      <c r="C54" s="62" t="s">
        <v>35</v>
      </c>
      <c r="D54" s="807"/>
      <c r="E54" s="136">
        <f t="shared" si="3"/>
        <v>0</v>
      </c>
      <c r="F54" s="710">
        <f t="shared" si="2"/>
        <v>0</v>
      </c>
      <c r="G54" s="136">
        <f t="shared" si="2"/>
        <v>0</v>
      </c>
      <c r="H54" s="136">
        <f t="shared" si="2"/>
        <v>0</v>
      </c>
      <c r="I54" s="23" t="s">
        <v>40</v>
      </c>
      <c r="J54" s="138"/>
      <c r="L54" s="100"/>
      <c r="M54" s="100"/>
      <c r="N54" s="100"/>
      <c r="O54" s="100"/>
      <c r="P54" s="100"/>
    </row>
    <row r="55" spans="1:17" x14ac:dyDescent="0.25">
      <c r="A55" s="57" t="s">
        <v>37</v>
      </c>
      <c r="B55" s="805"/>
      <c r="C55" s="62" t="s">
        <v>36</v>
      </c>
      <c r="D55" s="808"/>
      <c r="E55" s="136">
        <f>E35+E41+E47</f>
        <v>0</v>
      </c>
      <c r="F55" s="136">
        <f t="shared" si="2"/>
        <v>0</v>
      </c>
      <c r="G55" s="136">
        <f t="shared" si="2"/>
        <v>0</v>
      </c>
      <c r="H55" s="136">
        <f t="shared" si="2"/>
        <v>0</v>
      </c>
      <c r="I55" s="23" t="s">
        <v>40</v>
      </c>
      <c r="J55" s="138"/>
      <c r="L55" s="100"/>
      <c r="M55" s="100"/>
      <c r="N55" s="100"/>
      <c r="O55" s="100"/>
      <c r="P55" s="100"/>
    </row>
    <row r="56" spans="1:17" ht="15.75" customHeight="1" x14ac:dyDescent="0.25">
      <c r="A56" s="57" t="s">
        <v>37</v>
      </c>
      <c r="B56" s="803" t="s">
        <v>114</v>
      </c>
      <c r="C56" s="62" t="s">
        <v>29</v>
      </c>
      <c r="D56" s="806" t="s">
        <v>50</v>
      </c>
      <c r="E56" s="70" t="e">
        <f>(Calculations!C184+Calculations!C192)/Calculations!C217</f>
        <v>#DIV/0!</v>
      </c>
      <c r="F56" s="70" t="e">
        <f>(Calculations!D184+Calculations!D192)/Calculations!D217</f>
        <v>#DIV/0!</v>
      </c>
      <c r="G56" s="70" t="e">
        <f>(Calculations!E184+Calculations!E192)/Calculations!E217</f>
        <v>#DIV/0!</v>
      </c>
      <c r="H56" s="70" t="e">
        <f>(Calculations!F184+Calculations!F192)/Calculations!F217</f>
        <v>#DIV/0!</v>
      </c>
      <c r="I56" s="406" t="s">
        <v>51</v>
      </c>
      <c r="J56" s="139"/>
      <c r="L56" s="97"/>
    </row>
    <row r="57" spans="1:17" x14ac:dyDescent="0.25">
      <c r="A57" s="57" t="s">
        <v>37</v>
      </c>
      <c r="B57" s="804"/>
      <c r="C57" s="62" t="s">
        <v>32</v>
      </c>
      <c r="D57" s="807"/>
      <c r="E57" s="70" t="e">
        <f>(Calculations!C185+Calculations!C193)/Calculations!C218</f>
        <v>#N/A</v>
      </c>
      <c r="F57" s="70" t="e">
        <f>(Calculations!D185+Calculations!D193)/Calculations!D218</f>
        <v>#DIV/0!</v>
      </c>
      <c r="G57" s="70" t="e">
        <f>(Calculations!E185+Calculations!E193)/Calculations!E218</f>
        <v>#DIV/0!</v>
      </c>
      <c r="H57" s="70" t="e">
        <f>(Calculations!F185+Calculations!F193)/Calculations!F218</f>
        <v>#DIV/0!</v>
      </c>
      <c r="I57" s="406" t="s">
        <v>51</v>
      </c>
      <c r="J57" s="139"/>
    </row>
    <row r="58" spans="1:17" x14ac:dyDescent="0.25">
      <c r="A58" s="57" t="s">
        <v>37</v>
      </c>
      <c r="B58" s="804"/>
      <c r="C58" s="62" t="s">
        <v>33</v>
      </c>
      <c r="D58" s="807"/>
      <c r="E58" s="70" t="e">
        <f>(Calculations!C186+Calculations!C194)/Calculations!C219</f>
        <v>#DIV/0!</v>
      </c>
      <c r="F58" s="70" t="e">
        <f>(Calculations!D186+Calculations!D194)/Calculations!D219</f>
        <v>#DIV/0!</v>
      </c>
      <c r="G58" s="70" t="e">
        <f>(Calculations!E186+Calculations!E194)/Calculations!E219</f>
        <v>#DIV/0!</v>
      </c>
      <c r="H58" s="70" t="e">
        <f>(Calculations!F186+Calculations!F194)/Calculations!F219</f>
        <v>#DIV/0!</v>
      </c>
      <c r="I58" s="406" t="s">
        <v>51</v>
      </c>
      <c r="J58" s="139"/>
    </row>
    <row r="59" spans="1:17" x14ac:dyDescent="0.25">
      <c r="A59" s="57" t="s">
        <v>37</v>
      </c>
      <c r="B59" s="804"/>
      <c r="C59" s="62" t="s">
        <v>34</v>
      </c>
      <c r="D59" s="807"/>
      <c r="E59" s="70" t="e">
        <f>(Calculations!C187+Calculations!C195)/Calculations!C220</f>
        <v>#DIV/0!</v>
      </c>
      <c r="F59" s="70" t="e">
        <f>(Calculations!D187+Calculations!D195)/Calculations!D220</f>
        <v>#DIV/0!</v>
      </c>
      <c r="G59" s="70" t="e">
        <f>(Calculations!E187+Calculations!E195)/Calculations!E220</f>
        <v>#DIV/0!</v>
      </c>
      <c r="H59" s="70" t="e">
        <f>(Calculations!F187+Calculations!F195)/Calculations!F220</f>
        <v>#DIV/0!</v>
      </c>
      <c r="I59" s="406" t="s">
        <v>51</v>
      </c>
      <c r="J59" s="139"/>
    </row>
    <row r="60" spans="1:17" x14ac:dyDescent="0.25">
      <c r="A60" s="57" t="s">
        <v>37</v>
      </c>
      <c r="B60" s="804"/>
      <c r="C60" s="62" t="s">
        <v>35</v>
      </c>
      <c r="D60" s="807"/>
      <c r="E60" s="70" t="e">
        <f>(Calculations!C188+Calculations!C196)/Calculations!C221</f>
        <v>#DIV/0!</v>
      </c>
      <c r="F60" s="70" t="e">
        <f>(Calculations!D188+Calculations!D196)/Calculations!D221</f>
        <v>#DIV/0!</v>
      </c>
      <c r="G60" s="70" t="e">
        <f>(Calculations!E188+Calculations!E196)/Calculations!E221</f>
        <v>#DIV/0!</v>
      </c>
      <c r="H60" s="70" t="e">
        <f>(Calculations!F188+Calculations!F196)/Calculations!F221</f>
        <v>#DIV/0!</v>
      </c>
      <c r="I60" s="406" t="s">
        <v>51</v>
      </c>
      <c r="J60" s="139"/>
    </row>
    <row r="61" spans="1:17" x14ac:dyDescent="0.25">
      <c r="A61" s="57" t="s">
        <v>37</v>
      </c>
      <c r="B61" s="805"/>
      <c r="C61" s="62" t="s">
        <v>36</v>
      </c>
      <c r="D61" s="808"/>
      <c r="E61" s="70" t="e">
        <f>(Calculations!C189+Calculations!C197)/Calculations!C222</f>
        <v>#DIV/0!</v>
      </c>
      <c r="F61" s="70" t="e">
        <f>(Calculations!D189+Calculations!D197)/Calculations!D222</f>
        <v>#DIV/0!</v>
      </c>
      <c r="G61" s="70" t="e">
        <f>(Calculations!E189+Calculations!E197)/Calculations!E222</f>
        <v>#DIV/0!</v>
      </c>
      <c r="H61" s="70" t="e">
        <f>(Calculations!F189+Calculations!F197)/Calculations!F222</f>
        <v>#DIV/0!</v>
      </c>
      <c r="I61" s="406" t="s">
        <v>51</v>
      </c>
      <c r="J61" s="140"/>
    </row>
    <row r="62" spans="1:17" ht="18.75" x14ac:dyDescent="0.25">
      <c r="A62" s="63" t="s">
        <v>299</v>
      </c>
      <c r="B62" s="77"/>
      <c r="C62" s="132"/>
      <c r="D62" s="132"/>
      <c r="E62" s="132" t="s">
        <v>98</v>
      </c>
      <c r="F62" s="132" t="s">
        <v>99</v>
      </c>
      <c r="G62" s="132" t="s">
        <v>100</v>
      </c>
      <c r="H62" s="132" t="s">
        <v>101</v>
      </c>
      <c r="I62" s="132"/>
      <c r="J62" s="133"/>
      <c r="L62" s="799"/>
      <c r="M62" s="799"/>
      <c r="N62" s="799"/>
      <c r="O62" s="799"/>
      <c r="P62" s="799"/>
      <c r="Q62" s="104"/>
    </row>
    <row r="63" spans="1:17" x14ac:dyDescent="0.25">
      <c r="A63" s="48" t="s">
        <v>11</v>
      </c>
      <c r="B63" s="408" t="s">
        <v>12</v>
      </c>
      <c r="C63" s="49" t="s">
        <v>13</v>
      </c>
      <c r="D63" s="50" t="s">
        <v>14</v>
      </c>
      <c r="E63" s="51" t="s">
        <v>15</v>
      </c>
      <c r="F63" s="51" t="s">
        <v>15</v>
      </c>
      <c r="G63" s="51" t="s">
        <v>15</v>
      </c>
      <c r="H63" s="51" t="s">
        <v>15</v>
      </c>
      <c r="I63" s="407" t="s">
        <v>102</v>
      </c>
      <c r="J63" s="386" t="s">
        <v>17</v>
      </c>
      <c r="L63" s="105"/>
      <c r="M63" s="411"/>
      <c r="N63" s="411"/>
      <c r="O63" s="411"/>
      <c r="P63" s="411"/>
      <c r="Q63" s="104"/>
    </row>
    <row r="64" spans="1:17" ht="38.25" x14ac:dyDescent="0.25">
      <c r="A64" s="56">
        <v>9.1</v>
      </c>
      <c r="B64" s="813" t="s">
        <v>57</v>
      </c>
      <c r="C64" s="58" t="s">
        <v>306</v>
      </c>
      <c r="D64" s="80" t="s">
        <v>305</v>
      </c>
      <c r="E64" s="70">
        <f>'Baseline data entry'!E59</f>
        <v>0</v>
      </c>
      <c r="F64" s="13"/>
      <c r="G64" s="13"/>
      <c r="H64" s="13"/>
      <c r="I64" s="740" t="s">
        <v>115</v>
      </c>
      <c r="J64" s="118"/>
      <c r="K64" s="106"/>
      <c r="L64" s="4"/>
      <c r="M64" s="411"/>
      <c r="N64" s="411"/>
      <c r="O64" s="411"/>
      <c r="P64" s="411"/>
      <c r="Q64" s="104"/>
    </row>
    <row r="65" spans="1:17" ht="25.5" x14ac:dyDescent="0.25">
      <c r="A65" s="56">
        <v>9.1999999999999993</v>
      </c>
      <c r="B65" s="814"/>
      <c r="C65" s="58" t="s">
        <v>307</v>
      </c>
      <c r="D65" s="80" t="s">
        <v>308</v>
      </c>
      <c r="E65" s="70">
        <f>'Baseline data entry'!E60</f>
        <v>0</v>
      </c>
      <c r="F65" s="13"/>
      <c r="G65" s="13"/>
      <c r="H65" s="13"/>
      <c r="I65" s="741"/>
      <c r="J65" s="125"/>
      <c r="K65" s="106"/>
      <c r="L65" s="5"/>
      <c r="M65" s="411"/>
      <c r="N65" s="107"/>
      <c r="O65" s="411"/>
      <c r="P65" s="411"/>
      <c r="Q65" s="104"/>
    </row>
    <row r="66" spans="1:17" ht="25.5" x14ac:dyDescent="0.25">
      <c r="A66" s="56">
        <v>9.3000000000000007</v>
      </c>
      <c r="B66" s="815"/>
      <c r="C66" s="54" t="s">
        <v>717</v>
      </c>
      <c r="D66" s="80" t="s">
        <v>58</v>
      </c>
      <c r="E66" s="403">
        <f>'Baseline data entry'!E61</f>
        <v>0</v>
      </c>
      <c r="F66" s="89"/>
      <c r="G66" s="89"/>
      <c r="H66" s="89"/>
      <c r="I66" s="742"/>
      <c r="J66" s="126"/>
      <c r="K66" s="106"/>
      <c r="L66" s="4"/>
      <c r="M66" s="411"/>
      <c r="N66" s="107"/>
      <c r="O66" s="411"/>
      <c r="P66" s="411"/>
      <c r="Q66" s="104"/>
    </row>
    <row r="67" spans="1:17" ht="18.75" x14ac:dyDescent="0.25">
      <c r="A67" s="63" t="s">
        <v>298</v>
      </c>
      <c r="B67" s="81"/>
      <c r="C67" s="81"/>
      <c r="D67" s="82"/>
      <c r="E67" s="132" t="s">
        <v>98</v>
      </c>
      <c r="F67" s="132" t="s">
        <v>99</v>
      </c>
      <c r="G67" s="132" t="s">
        <v>100</v>
      </c>
      <c r="H67" s="132" t="s">
        <v>101</v>
      </c>
      <c r="I67" s="65"/>
      <c r="J67" s="133"/>
      <c r="K67" s="106"/>
      <c r="L67" s="108"/>
      <c r="M67" s="109"/>
      <c r="N67" s="108"/>
      <c r="O67" s="108"/>
      <c r="P67" s="108"/>
      <c r="Q67" s="104"/>
    </row>
    <row r="68" spans="1:17" ht="17.25" customHeight="1" x14ac:dyDescent="0.25">
      <c r="A68" s="48" t="s">
        <v>11</v>
      </c>
      <c r="B68" s="408" t="s">
        <v>12</v>
      </c>
      <c r="C68" s="49" t="s">
        <v>13</v>
      </c>
      <c r="D68" s="50" t="s">
        <v>14</v>
      </c>
      <c r="E68" s="51" t="s">
        <v>15</v>
      </c>
      <c r="F68" s="51" t="s">
        <v>15</v>
      </c>
      <c r="G68" s="51" t="s">
        <v>15</v>
      </c>
      <c r="H68" s="51" t="s">
        <v>15</v>
      </c>
      <c r="I68" s="407" t="s">
        <v>102</v>
      </c>
      <c r="J68" s="386" t="s">
        <v>17</v>
      </c>
      <c r="K68" s="110"/>
      <c r="L68" s="111"/>
      <c r="N68" s="112"/>
      <c r="O68" s="112"/>
      <c r="P68" s="112"/>
      <c r="Q68" s="113"/>
    </row>
    <row r="69" spans="1:17" ht="17.25" customHeight="1" x14ac:dyDescent="0.25">
      <c r="A69" s="68">
        <v>10.1</v>
      </c>
      <c r="B69" s="778" t="s">
        <v>60</v>
      </c>
      <c r="C69" s="685" t="s">
        <v>61</v>
      </c>
      <c r="D69" s="84" t="s">
        <v>46</v>
      </c>
      <c r="E69" s="141">
        <f>'Baseline data entry'!E64</f>
        <v>0</v>
      </c>
      <c r="F69" s="14"/>
      <c r="G69" s="14"/>
      <c r="H69" s="14"/>
      <c r="I69" s="751" t="s">
        <v>601</v>
      </c>
      <c r="J69" s="121"/>
      <c r="K69" s="110"/>
      <c r="L69" s="111"/>
      <c r="N69" s="112"/>
      <c r="O69" s="112"/>
      <c r="P69" s="112"/>
      <c r="Q69" s="113"/>
    </row>
    <row r="70" spans="1:17" ht="17.25" customHeight="1" x14ac:dyDescent="0.25">
      <c r="A70" s="68">
        <v>10.199999999999999</v>
      </c>
      <c r="B70" s="779"/>
      <c r="C70" s="685" t="s">
        <v>63</v>
      </c>
      <c r="D70" s="84" t="s">
        <v>46</v>
      </c>
      <c r="E70" s="141">
        <f>'Baseline data entry'!E65</f>
        <v>0</v>
      </c>
      <c r="F70" s="14"/>
      <c r="G70" s="14"/>
      <c r="H70" s="14"/>
      <c r="I70" s="753"/>
      <c r="J70" s="122"/>
      <c r="K70" s="110"/>
      <c r="L70" s="111"/>
      <c r="N70" s="112"/>
      <c r="O70" s="112"/>
      <c r="P70" s="112"/>
      <c r="Q70" s="113"/>
    </row>
    <row r="71" spans="1:17" ht="17.25" customHeight="1" x14ac:dyDescent="0.25">
      <c r="A71" s="68">
        <v>10.3</v>
      </c>
      <c r="B71" s="779"/>
      <c r="C71" s="685" t="s">
        <v>64</v>
      </c>
      <c r="D71" s="84" t="s">
        <v>46</v>
      </c>
      <c r="E71" s="141">
        <f>'Baseline data entry'!E66</f>
        <v>0</v>
      </c>
      <c r="F71" s="14"/>
      <c r="G71" s="14"/>
      <c r="H71" s="14"/>
      <c r="I71" s="753"/>
      <c r="J71" s="122"/>
      <c r="K71" s="110"/>
      <c r="L71" s="111"/>
      <c r="N71" s="112"/>
      <c r="O71" s="112"/>
      <c r="P71" s="112"/>
      <c r="Q71" s="113"/>
    </row>
    <row r="72" spans="1:17" x14ac:dyDescent="0.25">
      <c r="A72" s="68">
        <v>10.4</v>
      </c>
      <c r="B72" s="800"/>
      <c r="C72" s="685" t="s">
        <v>65</v>
      </c>
      <c r="D72" s="84" t="s">
        <v>46</v>
      </c>
      <c r="E72" s="141">
        <f>'Baseline data entry'!E67</f>
        <v>0</v>
      </c>
      <c r="F72" s="14"/>
      <c r="G72" s="14"/>
      <c r="H72" s="14"/>
      <c r="I72" s="763"/>
      <c r="J72" s="123"/>
      <c r="K72" s="110"/>
      <c r="L72" s="111"/>
      <c r="N72" s="112"/>
      <c r="O72" s="112"/>
      <c r="P72" s="112"/>
      <c r="Q72" s="113"/>
    </row>
    <row r="73" spans="1:17" ht="20.25" customHeight="1" x14ac:dyDescent="0.25">
      <c r="A73" s="68">
        <v>11.1</v>
      </c>
      <c r="B73" s="778" t="s">
        <v>66</v>
      </c>
      <c r="C73" s="685" t="s">
        <v>371</v>
      </c>
      <c r="D73" s="84" t="s">
        <v>46</v>
      </c>
      <c r="E73" s="141">
        <f>'Baseline data entry'!E68</f>
        <v>0</v>
      </c>
      <c r="F73" s="14"/>
      <c r="G73" s="14"/>
      <c r="H73" s="14"/>
      <c r="I73" s="751" t="s">
        <v>592</v>
      </c>
      <c r="J73" s="121"/>
      <c r="K73" s="110"/>
      <c r="L73" s="111"/>
      <c r="N73" s="112"/>
      <c r="O73" s="112"/>
      <c r="P73" s="112"/>
      <c r="Q73" s="113"/>
    </row>
    <row r="74" spans="1:17" ht="20.25" customHeight="1" x14ac:dyDescent="0.25">
      <c r="A74" s="68">
        <v>11.2</v>
      </c>
      <c r="B74" s="800"/>
      <c r="C74" s="685" t="s">
        <v>67</v>
      </c>
      <c r="D74" s="84" t="s">
        <v>46</v>
      </c>
      <c r="E74" s="141">
        <f>'Baseline data entry'!E69</f>
        <v>0</v>
      </c>
      <c r="F74" s="14"/>
      <c r="G74" s="14"/>
      <c r="H74" s="14"/>
      <c r="I74" s="763"/>
      <c r="J74" s="123"/>
      <c r="K74" s="110"/>
      <c r="L74" s="111"/>
      <c r="N74" s="112"/>
      <c r="O74" s="112"/>
      <c r="P74" s="112"/>
      <c r="Q74" s="113"/>
    </row>
    <row r="75" spans="1:17" ht="25.5" x14ac:dyDescent="0.25">
      <c r="A75" s="68">
        <v>12.1</v>
      </c>
      <c r="B75" s="778" t="s">
        <v>68</v>
      </c>
      <c r="C75" s="658" t="s">
        <v>69</v>
      </c>
      <c r="D75" s="58" t="s">
        <v>70</v>
      </c>
      <c r="E75" s="134">
        <f>'Baseline data entry'!E70</f>
        <v>0</v>
      </c>
      <c r="F75" s="10"/>
      <c r="G75" s="10"/>
      <c r="H75" s="10"/>
      <c r="I75" s="751" t="s">
        <v>602</v>
      </c>
      <c r="J75" s="121"/>
      <c r="K75" s="110"/>
      <c r="L75" s="111"/>
      <c r="N75" s="112"/>
      <c r="O75" s="112"/>
      <c r="P75" s="112"/>
      <c r="Q75" s="113"/>
    </row>
    <row r="76" spans="1:17" x14ac:dyDescent="0.25">
      <c r="A76" s="68">
        <v>12.2</v>
      </c>
      <c r="B76" s="779"/>
      <c r="C76" s="685" t="s">
        <v>688</v>
      </c>
      <c r="D76" s="84" t="s">
        <v>46</v>
      </c>
      <c r="E76" s="141">
        <f>'Baseline data entry'!E71</f>
        <v>0</v>
      </c>
      <c r="F76" s="14"/>
      <c r="G76" s="14"/>
      <c r="H76" s="14"/>
      <c r="I76" s="753"/>
      <c r="J76" s="122"/>
      <c r="K76" s="110"/>
      <c r="L76" s="111"/>
      <c r="N76" s="112"/>
      <c r="O76" s="112"/>
      <c r="P76" s="112"/>
      <c r="Q76" s="113"/>
    </row>
    <row r="77" spans="1:17" ht="25.5" customHeight="1" x14ac:dyDescent="0.25">
      <c r="A77" s="68">
        <v>13.1</v>
      </c>
      <c r="B77" s="778" t="s">
        <v>309</v>
      </c>
      <c r="C77" s="658" t="s">
        <v>72</v>
      </c>
      <c r="D77" s="58" t="s">
        <v>73</v>
      </c>
      <c r="E77" s="134">
        <f>'Baseline data entry'!E72</f>
        <v>0</v>
      </c>
      <c r="F77" s="10"/>
      <c r="G77" s="10"/>
      <c r="H77" s="10"/>
      <c r="I77" s="751" t="s">
        <v>593</v>
      </c>
      <c r="J77" s="121"/>
      <c r="K77" s="110"/>
      <c r="L77" s="111"/>
      <c r="N77" s="112"/>
      <c r="O77" s="112"/>
      <c r="P77" s="112"/>
      <c r="Q77" s="113"/>
    </row>
    <row r="78" spans="1:17" ht="25.5" customHeight="1" x14ac:dyDescent="0.25">
      <c r="A78" s="68">
        <v>13.2</v>
      </c>
      <c r="B78" s="779"/>
      <c r="C78" s="685" t="s">
        <v>688</v>
      </c>
      <c r="D78" s="84" t="s">
        <v>46</v>
      </c>
      <c r="E78" s="134">
        <f>'Baseline data entry'!E73</f>
        <v>0</v>
      </c>
      <c r="F78" s="14"/>
      <c r="G78" s="14"/>
      <c r="H78" s="14"/>
      <c r="I78" s="753"/>
      <c r="J78" s="122"/>
      <c r="K78" s="110"/>
      <c r="L78" s="111"/>
      <c r="N78" s="112"/>
      <c r="O78" s="112"/>
      <c r="P78" s="112"/>
      <c r="Q78" s="113"/>
    </row>
    <row r="79" spans="1:17" ht="15.75" customHeight="1" x14ac:dyDescent="0.25">
      <c r="A79" s="68">
        <v>14.1</v>
      </c>
      <c r="B79" s="778" t="s">
        <v>311</v>
      </c>
      <c r="C79" s="437" t="s">
        <v>74</v>
      </c>
      <c r="D79" s="83" t="s">
        <v>46</v>
      </c>
      <c r="E79" s="141">
        <f>'Baseline data entry'!E74</f>
        <v>0</v>
      </c>
      <c r="F79" s="14"/>
      <c r="G79" s="14"/>
      <c r="H79" s="14"/>
      <c r="I79" s="751" t="s">
        <v>594</v>
      </c>
      <c r="J79" s="121"/>
      <c r="K79" s="104"/>
      <c r="L79" s="114"/>
      <c r="N79" s="112"/>
      <c r="O79" s="112"/>
      <c r="P79" s="112"/>
      <c r="Q79" s="113"/>
    </row>
    <row r="80" spans="1:17" x14ac:dyDescent="0.25">
      <c r="A80" s="68">
        <v>14.2</v>
      </c>
      <c r="B80" s="779"/>
      <c r="C80" s="437" t="s">
        <v>75</v>
      </c>
      <c r="D80" s="83" t="s">
        <v>46</v>
      </c>
      <c r="E80" s="141">
        <f>'Baseline data entry'!E75</f>
        <v>0</v>
      </c>
      <c r="F80" s="14"/>
      <c r="G80" s="14"/>
      <c r="H80" s="14"/>
      <c r="I80" s="753"/>
      <c r="J80" s="122"/>
      <c r="K80" s="110"/>
      <c r="L80" s="114"/>
      <c r="N80" s="112"/>
      <c r="O80" s="112"/>
      <c r="P80" s="112"/>
      <c r="Q80" s="113"/>
    </row>
    <row r="81" spans="1:17" x14ac:dyDescent="0.25">
      <c r="A81" s="68">
        <v>14.3</v>
      </c>
      <c r="B81" s="800"/>
      <c r="C81" s="437" t="s">
        <v>76</v>
      </c>
      <c r="D81" s="83" t="s">
        <v>46</v>
      </c>
      <c r="E81" s="141">
        <f>'Baseline data entry'!E76</f>
        <v>0</v>
      </c>
      <c r="F81" s="14"/>
      <c r="G81" s="14"/>
      <c r="H81" s="14"/>
      <c r="I81" s="763"/>
      <c r="J81" s="123"/>
      <c r="K81" s="110"/>
      <c r="L81" s="114"/>
      <c r="N81" s="112"/>
      <c r="O81" s="112"/>
      <c r="P81" s="112"/>
      <c r="Q81" s="113"/>
    </row>
    <row r="82" spans="1:17" ht="15.75" customHeight="1" x14ac:dyDescent="0.25">
      <c r="A82" s="68">
        <v>15.1</v>
      </c>
      <c r="B82" s="778" t="s">
        <v>712</v>
      </c>
      <c r="C82" s="685" t="s">
        <v>77</v>
      </c>
      <c r="D82" s="58" t="s">
        <v>46</v>
      </c>
      <c r="E82" s="141">
        <f>'Baseline data entry'!E77</f>
        <v>0</v>
      </c>
      <c r="F82" s="14"/>
      <c r="G82" s="14"/>
      <c r="H82" s="14"/>
      <c r="I82" s="751" t="s">
        <v>595</v>
      </c>
      <c r="J82" s="121"/>
      <c r="K82" s="110"/>
      <c r="L82" s="114"/>
      <c r="N82" s="112"/>
      <c r="O82" s="112"/>
      <c r="P82" s="112"/>
      <c r="Q82" s="113"/>
    </row>
    <row r="83" spans="1:17" x14ac:dyDescent="0.25">
      <c r="A83" s="68">
        <v>15.2</v>
      </c>
      <c r="B83" s="779"/>
      <c r="C83" s="685" t="s">
        <v>78</v>
      </c>
      <c r="D83" s="84" t="s">
        <v>46</v>
      </c>
      <c r="E83" s="141">
        <f>'Baseline data entry'!E78</f>
        <v>0</v>
      </c>
      <c r="F83" s="14"/>
      <c r="G83" s="14"/>
      <c r="H83" s="14"/>
      <c r="I83" s="753"/>
      <c r="J83" s="122"/>
      <c r="K83" s="110"/>
      <c r="L83" s="111"/>
      <c r="N83" s="112"/>
      <c r="O83" s="112"/>
      <c r="P83" s="112"/>
      <c r="Q83" s="113"/>
    </row>
    <row r="84" spans="1:17" ht="15.75" customHeight="1" x14ac:dyDescent="0.25">
      <c r="A84" s="68">
        <v>15.3</v>
      </c>
      <c r="B84" s="779"/>
      <c r="C84" s="685" t="s">
        <v>79</v>
      </c>
      <c r="D84" s="84" t="s">
        <v>46</v>
      </c>
      <c r="E84" s="141">
        <f>'Baseline data entry'!E79</f>
        <v>0</v>
      </c>
      <c r="F84" s="14"/>
      <c r="G84" s="14"/>
      <c r="H84" s="14"/>
      <c r="I84" s="753"/>
      <c r="J84" s="122"/>
      <c r="K84" s="110"/>
      <c r="L84" s="111"/>
      <c r="N84" s="112"/>
      <c r="O84" s="112"/>
      <c r="P84" s="112"/>
      <c r="Q84" s="113"/>
    </row>
    <row r="85" spans="1:17" x14ac:dyDescent="0.25">
      <c r="A85" s="68">
        <v>15.4</v>
      </c>
      <c r="B85" s="779"/>
      <c r="C85" s="685" t="s">
        <v>80</v>
      </c>
      <c r="D85" s="84" t="s">
        <v>46</v>
      </c>
      <c r="E85" s="141">
        <f>'Baseline data entry'!E80</f>
        <v>0</v>
      </c>
      <c r="F85" s="14"/>
      <c r="G85" s="14"/>
      <c r="H85" s="14"/>
      <c r="I85" s="753"/>
      <c r="J85" s="122"/>
      <c r="K85" s="110"/>
      <c r="L85" s="111"/>
      <c r="N85" s="112"/>
      <c r="O85" s="112"/>
      <c r="P85" s="112"/>
      <c r="Q85" s="113"/>
    </row>
    <row r="86" spans="1:17" x14ac:dyDescent="0.25">
      <c r="A86" s="68">
        <v>15.5</v>
      </c>
      <c r="B86" s="779"/>
      <c r="C86" s="685" t="s">
        <v>81</v>
      </c>
      <c r="D86" s="84" t="s">
        <v>46</v>
      </c>
      <c r="E86" s="141">
        <f>'Baseline data entry'!E81</f>
        <v>0</v>
      </c>
      <c r="F86" s="14"/>
      <c r="G86" s="14"/>
      <c r="H86" s="14"/>
      <c r="I86" s="753"/>
      <c r="J86" s="122"/>
      <c r="K86" s="110"/>
      <c r="L86" s="111"/>
      <c r="N86" s="112"/>
      <c r="O86" s="112"/>
      <c r="P86" s="112"/>
      <c r="Q86" s="113"/>
    </row>
    <row r="87" spans="1:17" x14ac:dyDescent="0.25">
      <c r="A87" s="68">
        <v>15.6</v>
      </c>
      <c r="B87" s="800"/>
      <c r="C87" s="685" t="s">
        <v>82</v>
      </c>
      <c r="D87" s="84" t="s">
        <v>46</v>
      </c>
      <c r="E87" s="141">
        <f>'Baseline data entry'!E82</f>
        <v>0</v>
      </c>
      <c r="F87" s="14"/>
      <c r="G87" s="14"/>
      <c r="H87" s="14"/>
      <c r="I87" s="763"/>
      <c r="J87" s="123"/>
      <c r="K87" s="110"/>
      <c r="L87" s="111"/>
      <c r="N87" s="112"/>
      <c r="O87" s="112"/>
      <c r="P87" s="112"/>
      <c r="Q87" s="113"/>
    </row>
    <row r="88" spans="1:17" ht="18" customHeight="1" x14ac:dyDescent="0.25">
      <c r="A88" s="68">
        <v>21.1</v>
      </c>
      <c r="B88" s="778" t="s">
        <v>310</v>
      </c>
      <c r="C88" s="685" t="s">
        <v>83</v>
      </c>
      <c r="D88" s="58" t="s">
        <v>46</v>
      </c>
      <c r="E88" s="141">
        <f>'Baseline data entry'!E83</f>
        <v>0</v>
      </c>
      <c r="F88" s="14"/>
      <c r="G88" s="14"/>
      <c r="H88" s="14"/>
      <c r="I88" s="751" t="s">
        <v>596</v>
      </c>
      <c r="J88" s="118"/>
      <c r="K88" s="110"/>
      <c r="L88" s="111"/>
      <c r="N88" s="112"/>
      <c r="O88" s="112"/>
      <c r="P88" s="112"/>
      <c r="Q88" s="113"/>
    </row>
    <row r="89" spans="1:17" ht="18" customHeight="1" x14ac:dyDescent="0.25">
      <c r="A89" s="68">
        <v>21.2</v>
      </c>
      <c r="B89" s="800"/>
      <c r="C89" s="685" t="s">
        <v>84</v>
      </c>
      <c r="D89" s="58" t="s">
        <v>46</v>
      </c>
      <c r="E89" s="141">
        <f>'Baseline data entry'!E84</f>
        <v>0</v>
      </c>
      <c r="F89" s="14"/>
      <c r="G89" s="14"/>
      <c r="H89" s="14"/>
      <c r="I89" s="763"/>
      <c r="J89" s="120"/>
      <c r="K89" s="110"/>
      <c r="L89" s="111"/>
      <c r="N89" s="112"/>
      <c r="O89" s="112"/>
      <c r="P89" s="112"/>
      <c r="Q89" s="113"/>
    </row>
    <row r="90" spans="1:17" ht="15.75" customHeight="1" x14ac:dyDescent="0.25">
      <c r="A90" s="349" t="s">
        <v>297</v>
      </c>
      <c r="B90" s="350"/>
      <c r="C90" s="350"/>
      <c r="D90" s="351"/>
      <c r="E90" s="132" t="s">
        <v>98</v>
      </c>
      <c r="F90" s="352" t="s">
        <v>99</v>
      </c>
      <c r="G90" s="352" t="s">
        <v>100</v>
      </c>
      <c r="H90" s="352" t="s">
        <v>101</v>
      </c>
      <c r="I90" s="351"/>
      <c r="J90" s="133"/>
      <c r="K90" s="104"/>
    </row>
    <row r="91" spans="1:17" ht="15.75" customHeight="1" x14ac:dyDescent="0.25">
      <c r="A91" s="48" t="s">
        <v>11</v>
      </c>
      <c r="B91" s="408" t="s">
        <v>12</v>
      </c>
      <c r="C91" s="49" t="s">
        <v>13</v>
      </c>
      <c r="D91" s="50" t="s">
        <v>14</v>
      </c>
      <c r="E91" s="51" t="s">
        <v>15</v>
      </c>
      <c r="F91" s="51" t="s">
        <v>15</v>
      </c>
      <c r="G91" s="51" t="s">
        <v>15</v>
      </c>
      <c r="H91" s="51" t="s">
        <v>15</v>
      </c>
      <c r="I91" s="407" t="s">
        <v>102</v>
      </c>
      <c r="J91" s="386" t="s">
        <v>17</v>
      </c>
      <c r="K91" s="104"/>
    </row>
    <row r="92" spans="1:17" ht="15.75" customHeight="1" x14ac:dyDescent="0.25">
      <c r="A92" s="68">
        <v>16.100000000000001</v>
      </c>
      <c r="B92" s="737" t="s">
        <v>86</v>
      </c>
      <c r="C92" s="685" t="s">
        <v>87</v>
      </c>
      <c r="D92" s="83" t="s">
        <v>46</v>
      </c>
      <c r="E92" s="141">
        <f>'Baseline data entry'!E87</f>
        <v>0</v>
      </c>
      <c r="F92" s="14"/>
      <c r="G92" s="14"/>
      <c r="H92" s="14"/>
      <c r="I92" s="740" t="s">
        <v>597</v>
      </c>
      <c r="J92" s="121"/>
      <c r="K92" s="104"/>
    </row>
    <row r="93" spans="1:17" x14ac:dyDescent="0.25">
      <c r="A93" s="68">
        <v>16.2</v>
      </c>
      <c r="B93" s="738"/>
      <c r="C93" s="685" t="s">
        <v>88</v>
      </c>
      <c r="D93" s="83" t="s">
        <v>46</v>
      </c>
      <c r="E93" s="141">
        <f>'Baseline data entry'!E88</f>
        <v>0</v>
      </c>
      <c r="F93" s="14"/>
      <c r="G93" s="14"/>
      <c r="H93" s="14"/>
      <c r="I93" s="741"/>
      <c r="J93" s="122"/>
    </row>
    <row r="94" spans="1:17" x14ac:dyDescent="0.25">
      <c r="A94" s="68">
        <v>16.3</v>
      </c>
      <c r="B94" s="738"/>
      <c r="C94" s="685" t="s">
        <v>89</v>
      </c>
      <c r="D94" s="83" t="s">
        <v>46</v>
      </c>
      <c r="E94" s="141">
        <f>'Baseline data entry'!E89</f>
        <v>0</v>
      </c>
      <c r="F94" s="14"/>
      <c r="G94" s="14"/>
      <c r="H94" s="14"/>
      <c r="I94" s="741"/>
      <c r="J94" s="122"/>
    </row>
    <row r="95" spans="1:17" x14ac:dyDescent="0.25">
      <c r="A95" s="68">
        <v>16.399999999999999</v>
      </c>
      <c r="B95" s="739"/>
      <c r="C95" s="685" t="s">
        <v>334</v>
      </c>
      <c r="D95" s="83" t="s">
        <v>46</v>
      </c>
      <c r="E95" s="141">
        <f>'Baseline data entry'!E90</f>
        <v>0</v>
      </c>
      <c r="F95" s="14"/>
      <c r="G95" s="14"/>
      <c r="H95" s="14"/>
      <c r="I95" s="742"/>
      <c r="J95" s="123"/>
    </row>
    <row r="96" spans="1:17" ht="30" customHeight="1" x14ac:dyDescent="0.25">
      <c r="A96" s="68">
        <v>17.100000000000001</v>
      </c>
      <c r="B96" s="737" t="s">
        <v>90</v>
      </c>
      <c r="C96" s="685" t="s">
        <v>91</v>
      </c>
      <c r="D96" s="85" t="s">
        <v>46</v>
      </c>
      <c r="E96" s="141">
        <f>'Baseline data entry'!E91</f>
        <v>0</v>
      </c>
      <c r="F96" s="14"/>
      <c r="G96" s="14"/>
      <c r="H96" s="14"/>
      <c r="I96" s="740" t="s">
        <v>598</v>
      </c>
      <c r="J96" s="121"/>
    </row>
    <row r="97" spans="1:11" ht="30" customHeight="1" x14ac:dyDescent="0.25">
      <c r="A97" s="68">
        <v>17.2</v>
      </c>
      <c r="B97" s="738"/>
      <c r="C97" s="685" t="s">
        <v>93</v>
      </c>
      <c r="D97" s="59" t="s">
        <v>46</v>
      </c>
      <c r="E97" s="141">
        <f>'Baseline data entry'!E92</f>
        <v>0</v>
      </c>
      <c r="F97" s="14"/>
      <c r="G97" s="14"/>
      <c r="H97" s="14"/>
      <c r="I97" s="741"/>
      <c r="J97" s="122"/>
    </row>
    <row r="98" spans="1:11" ht="30" customHeight="1" x14ac:dyDescent="0.25">
      <c r="A98" s="68">
        <v>17.3</v>
      </c>
      <c r="B98" s="739"/>
      <c r="C98" s="685" t="s">
        <v>335</v>
      </c>
      <c r="D98" s="59" t="s">
        <v>46</v>
      </c>
      <c r="E98" s="141">
        <f>'Baseline data entry'!E93</f>
        <v>0</v>
      </c>
      <c r="F98" s="14"/>
      <c r="G98" s="14"/>
      <c r="H98" s="14"/>
      <c r="I98" s="742"/>
      <c r="J98" s="123"/>
    </row>
    <row r="99" spans="1:11" ht="15.75" customHeight="1" x14ac:dyDescent="0.25">
      <c r="A99" s="68">
        <v>18.100000000000001</v>
      </c>
      <c r="B99" s="746" t="s">
        <v>95</v>
      </c>
      <c r="C99" s="685" t="s">
        <v>87</v>
      </c>
      <c r="D99" s="84" t="s">
        <v>46</v>
      </c>
      <c r="E99" s="141">
        <f>'Baseline data entry'!E94</f>
        <v>0</v>
      </c>
      <c r="F99" s="14"/>
      <c r="G99" s="14"/>
      <c r="H99" s="14"/>
      <c r="I99" s="740" t="s">
        <v>692</v>
      </c>
      <c r="J99" s="122"/>
    </row>
    <row r="100" spans="1:11" x14ac:dyDescent="0.25">
      <c r="A100" s="68">
        <v>18.2</v>
      </c>
      <c r="B100" s="747"/>
      <c r="C100" s="685" t="s">
        <v>88</v>
      </c>
      <c r="D100" s="84" t="s">
        <v>46</v>
      </c>
      <c r="E100" s="141">
        <f>'Baseline data entry'!E95</f>
        <v>0</v>
      </c>
      <c r="F100" s="14"/>
      <c r="G100" s="14"/>
      <c r="H100" s="14"/>
      <c r="I100" s="741"/>
      <c r="J100" s="122"/>
    </row>
    <row r="101" spans="1:11" x14ac:dyDescent="0.25">
      <c r="A101" s="68">
        <v>18.3</v>
      </c>
      <c r="B101" s="747"/>
      <c r="C101" s="685" t="s">
        <v>89</v>
      </c>
      <c r="D101" s="84" t="s">
        <v>46</v>
      </c>
      <c r="E101" s="141">
        <f>'Baseline data entry'!E96</f>
        <v>0</v>
      </c>
      <c r="F101" s="14"/>
      <c r="G101" s="14"/>
      <c r="H101" s="14"/>
      <c r="I101" s="741"/>
      <c r="J101" s="122"/>
    </row>
    <row r="102" spans="1:11" x14ac:dyDescent="0.25">
      <c r="A102" s="68">
        <v>18.399999999999999</v>
      </c>
      <c r="B102" s="748"/>
      <c r="C102" s="685" t="s">
        <v>336</v>
      </c>
      <c r="D102" s="84" t="s">
        <v>46</v>
      </c>
      <c r="E102" s="141">
        <f>'Baseline data entry'!E97</f>
        <v>0</v>
      </c>
      <c r="F102" s="14"/>
      <c r="G102" s="14"/>
      <c r="H102" s="14"/>
      <c r="I102" s="742"/>
      <c r="J102" s="122"/>
    </row>
    <row r="103" spans="1:11" ht="15.75" customHeight="1" x14ac:dyDescent="0.25">
      <c r="A103" s="68">
        <v>19.100000000000001</v>
      </c>
      <c r="B103" s="824" t="s">
        <v>96</v>
      </c>
      <c r="C103" s="685" t="s">
        <v>87</v>
      </c>
      <c r="D103" s="84" t="s">
        <v>46</v>
      </c>
      <c r="E103" s="141">
        <f>'Baseline data entry'!E98</f>
        <v>0</v>
      </c>
      <c r="F103" s="14"/>
      <c r="G103" s="14"/>
      <c r="H103" s="14"/>
      <c r="I103" s="740" t="s">
        <v>692</v>
      </c>
      <c r="J103" s="118"/>
      <c r="K103" s="106"/>
    </row>
    <row r="104" spans="1:11" x14ac:dyDescent="0.25">
      <c r="A104" s="68">
        <v>19.2</v>
      </c>
      <c r="B104" s="824"/>
      <c r="C104" s="685" t="s">
        <v>88</v>
      </c>
      <c r="D104" s="84" t="s">
        <v>46</v>
      </c>
      <c r="E104" s="141">
        <f>'Baseline data entry'!E99</f>
        <v>0</v>
      </c>
      <c r="F104" s="14"/>
      <c r="G104" s="14"/>
      <c r="H104" s="14"/>
      <c r="I104" s="741"/>
      <c r="J104" s="119"/>
      <c r="K104" s="115"/>
    </row>
    <row r="105" spans="1:11" x14ac:dyDescent="0.25">
      <c r="A105" s="68">
        <v>19.3</v>
      </c>
      <c r="B105" s="824"/>
      <c r="C105" s="685" t="s">
        <v>89</v>
      </c>
      <c r="D105" s="84" t="s">
        <v>46</v>
      </c>
      <c r="E105" s="141">
        <f>'Baseline data entry'!E100</f>
        <v>0</v>
      </c>
      <c r="F105" s="14"/>
      <c r="G105" s="14"/>
      <c r="H105" s="14"/>
      <c r="I105" s="741"/>
      <c r="J105" s="119"/>
      <c r="K105" s="106"/>
    </row>
    <row r="106" spans="1:11" x14ac:dyDescent="0.25">
      <c r="A106" s="68">
        <v>19.399999999999999</v>
      </c>
      <c r="B106" s="824"/>
      <c r="C106" s="685" t="s">
        <v>336</v>
      </c>
      <c r="D106" s="84" t="s">
        <v>46</v>
      </c>
      <c r="E106" s="141">
        <f>'Baseline data entry'!E101</f>
        <v>0</v>
      </c>
      <c r="F106" s="14"/>
      <c r="G106" s="14"/>
      <c r="H106" s="14"/>
      <c r="I106" s="742"/>
      <c r="J106" s="120"/>
      <c r="K106" s="106"/>
    </row>
    <row r="107" spans="1:11" ht="21.95" customHeight="1" x14ac:dyDescent="0.25">
      <c r="A107" s="68">
        <v>20.100000000000001</v>
      </c>
      <c r="B107" s="752" t="s">
        <v>716</v>
      </c>
      <c r="C107" s="685" t="s">
        <v>91</v>
      </c>
      <c r="D107" s="84" t="s">
        <v>46</v>
      </c>
      <c r="E107" s="141">
        <f>'Baseline data entry'!E102</f>
        <v>0</v>
      </c>
      <c r="F107" s="14"/>
      <c r="G107" s="14"/>
      <c r="H107" s="14"/>
      <c r="I107" s="821" t="s">
        <v>599</v>
      </c>
      <c r="J107" s="121"/>
      <c r="K107" s="115"/>
    </row>
    <row r="108" spans="1:11" ht="21.95" customHeight="1" x14ac:dyDescent="0.25">
      <c r="A108" s="68">
        <v>20.2</v>
      </c>
      <c r="B108" s="754"/>
      <c r="C108" s="685" t="s">
        <v>93</v>
      </c>
      <c r="D108" s="394" t="s">
        <v>46</v>
      </c>
      <c r="E108" s="141">
        <f>'Baseline data entry'!E103</f>
        <v>0</v>
      </c>
      <c r="F108" s="395"/>
      <c r="G108" s="395"/>
      <c r="H108" s="395"/>
      <c r="I108" s="822"/>
      <c r="J108" s="122"/>
      <c r="K108" s="115"/>
    </row>
    <row r="109" spans="1:11" ht="21.95" customHeight="1" thickBot="1" x14ac:dyDescent="0.3">
      <c r="A109" s="687">
        <v>20.3</v>
      </c>
      <c r="B109" s="817"/>
      <c r="C109" s="686" t="s">
        <v>335</v>
      </c>
      <c r="D109" s="353" t="s">
        <v>46</v>
      </c>
      <c r="E109" s="402">
        <f>'Baseline data entry'!E104</f>
        <v>0</v>
      </c>
      <c r="F109" s="354"/>
      <c r="G109" s="354"/>
      <c r="H109" s="354"/>
      <c r="I109" s="823"/>
      <c r="J109" s="355"/>
      <c r="K109" s="115"/>
    </row>
    <row r="110" spans="1:11" ht="15.75" customHeight="1" x14ac:dyDescent="0.25">
      <c r="A110" s="94"/>
      <c r="B110" s="94"/>
      <c r="C110" s="94"/>
      <c r="D110" s="94"/>
      <c r="E110" s="94"/>
      <c r="I110" s="94"/>
      <c r="J110" s="94"/>
      <c r="K110" s="115"/>
    </row>
    <row r="111" spans="1:11" x14ac:dyDescent="0.25">
      <c r="A111" s="94"/>
      <c r="B111" s="94"/>
      <c r="C111" s="94"/>
      <c r="D111" s="94"/>
      <c r="E111" s="94"/>
      <c r="I111" s="94"/>
      <c r="J111" s="94"/>
      <c r="K111" s="106"/>
    </row>
    <row r="112" spans="1:11" x14ac:dyDescent="0.25">
      <c r="A112" s="94"/>
      <c r="B112" s="94"/>
      <c r="C112" s="94"/>
      <c r="D112" s="94"/>
      <c r="E112" s="94"/>
      <c r="I112" s="94"/>
      <c r="J112" s="94"/>
    </row>
    <row r="166" spans="1:18" s="92" customFormat="1" x14ac:dyDescent="0.25">
      <c r="A166" s="91"/>
      <c r="D166" s="93"/>
      <c r="E166" s="93"/>
      <c r="F166" s="94"/>
      <c r="G166" s="94"/>
      <c r="H166" s="94"/>
      <c r="K166" s="94"/>
      <c r="L166" s="94"/>
      <c r="M166" s="94"/>
      <c r="N166" s="94"/>
      <c r="O166" s="94"/>
      <c r="P166" s="94"/>
      <c r="Q166" s="94"/>
      <c r="R166" s="94"/>
    </row>
    <row r="172" spans="1:18" x14ac:dyDescent="0.25">
      <c r="G172" s="94">
        <v>1</v>
      </c>
    </row>
  </sheetData>
  <sheetProtection algorithmName="SHA-512" hashValue="48s8PhE2f5RoHh4+R3fgnGp35TbC1j34IM5GrQJNXXdVy1ZmlAtLg90glxPmysdovAYR5Y8aSHxvTTBQdQc9IQ==" saltValue="Kbx7LWL8d1xvagp7t4/FhQ==" spinCount="100000" sheet="1"/>
  <dataConsolidate/>
  <mergeCells count="46">
    <mergeCell ref="B107:B109"/>
    <mergeCell ref="I96:I98"/>
    <mergeCell ref="I99:I102"/>
    <mergeCell ref="I103:I106"/>
    <mergeCell ref="I107:I109"/>
    <mergeCell ref="B69:B72"/>
    <mergeCell ref="I69:I72"/>
    <mergeCell ref="B73:B74"/>
    <mergeCell ref="B79:B81"/>
    <mergeCell ref="I79:I81"/>
    <mergeCell ref="B82:B87"/>
    <mergeCell ref="I82:I87"/>
    <mergeCell ref="B103:B106"/>
    <mergeCell ref="I73:I74"/>
    <mergeCell ref="B88:B89"/>
    <mergeCell ref="I88:I89"/>
    <mergeCell ref="I77:I78"/>
    <mergeCell ref="I92:I95"/>
    <mergeCell ref="B92:B95"/>
    <mergeCell ref="B96:B98"/>
    <mergeCell ref="B99:B102"/>
    <mergeCell ref="B75:B76"/>
    <mergeCell ref="I75:I76"/>
    <mergeCell ref="B77:B78"/>
    <mergeCell ref="B64:B66"/>
    <mergeCell ref="I64:I66"/>
    <mergeCell ref="B56:B61"/>
    <mergeCell ref="D56:D61"/>
    <mergeCell ref="B14:B20"/>
    <mergeCell ref="I14:I19"/>
    <mergeCell ref="B36:B41"/>
    <mergeCell ref="D36:D41"/>
    <mergeCell ref="I36:I41"/>
    <mergeCell ref="B24:B29"/>
    <mergeCell ref="D24:D29"/>
    <mergeCell ref="I24:I29"/>
    <mergeCell ref="B30:B35"/>
    <mergeCell ref="D30:D35"/>
    <mergeCell ref="I30:I35"/>
    <mergeCell ref="L62:P62"/>
    <mergeCell ref="B42:B47"/>
    <mergeCell ref="D50:D55"/>
    <mergeCell ref="I42:I47"/>
    <mergeCell ref="B50:B55"/>
    <mergeCell ref="B48:B49"/>
    <mergeCell ref="D42:D47"/>
  </mergeCells>
  <conditionalFormatting sqref="E20:H20">
    <cfRule type="cellIs" dxfId="37" priority="12" operator="notEqual">
      <formula>1</formula>
    </cfRule>
  </conditionalFormatting>
  <conditionalFormatting sqref="E50:H61">
    <cfRule type="cellIs" dxfId="36" priority="11" operator="notBetween">
      <formula>0</formula>
      <formula>1</formula>
    </cfRule>
  </conditionalFormatting>
  <conditionalFormatting sqref="E64:E66">
    <cfRule type="cellIs" dxfId="35" priority="3" operator="notBetween">
      <formula>0</formula>
      <formula>1</formula>
    </cfRule>
  </conditionalFormatting>
  <dataValidations count="20">
    <dataValidation type="decimal" allowBlank="1" showInputMessage="1" showErrorMessage="1" sqref="F75:H75 F77:H77" xr:uid="{00000000-0002-0000-0300-000000000000}">
      <formula1>0</formula1>
      <formula2>1</formula2>
    </dataValidation>
    <dataValidation type="list" allowBlank="1" showInputMessage="1" showErrorMessage="1" sqref="F71:H72" xr:uid="{00000000-0002-0000-0300-000001000000}">
      <formula1>Type3</formula1>
    </dataValidation>
    <dataValidation type="list" allowBlank="1" showInputMessage="1" showErrorMessage="1" sqref="F69:H69 F88:H89" xr:uid="{00000000-0002-0000-0300-000002000000}">
      <formula1>Type1</formula1>
    </dataValidation>
    <dataValidation type="list" allowBlank="1" showInputMessage="1" showErrorMessage="1" sqref="F81:H81 F84:H87" xr:uid="{00000000-0002-0000-0300-000003000000}">
      <formula1>Type5</formula1>
    </dataValidation>
    <dataValidation type="list" allowBlank="1" showInputMessage="1" showErrorMessage="1" sqref="F73:H74 F83:H83 F79:H80 F70:H70" xr:uid="{00000000-0002-0000-0300-000004000000}">
      <formula1>Type2</formula1>
    </dataValidation>
    <dataValidation type="list" allowBlank="1" showInputMessage="1" showErrorMessage="1" sqref="F82:H82 F76:H76 F78:H78" xr:uid="{00000000-0002-0000-0300-000005000000}">
      <formula1>Type4</formula1>
    </dataValidation>
    <dataValidation allowBlank="1" showErrorMessage="1" promptTitle="Designated Disposal Sites (DDS)" prompt="DDS refer to disposal sites which are regularly used by the public authorities and private collectors, regardless of the level of control and legality. DDS can be officially designated or non-officially designated but still used regularly." sqref="B42:B47" xr:uid="{00000000-0002-0000-0300-000006000000}"/>
    <dataValidation allowBlank="1" showErrorMessage="1" promptTitle="Sorting for reprocessing" prompt="Waste is considered sorted for reprocessing after the first sorting (i.e. rejects removal). Although further sorting is likely at subsequent stages in the reprocessing, these are deemed out of scope. Further details are given in the user manual. " sqref="B36:B41" xr:uid="{00000000-0002-0000-0300-000007000000}"/>
    <dataValidation allowBlank="1" showErrorMessage="1" promptTitle="Collection coverage" prompt="Collection coverage includes both the area serviced by waste collection, and the collection efficiency of this service. It can therefore be defined as the percentage of waste collected with intention for treatment or disposal in designated disposal sites." sqref="B23" xr:uid="{00000000-0002-0000-0300-000008000000}"/>
    <dataValidation allowBlank="1" showErrorMessage="1" promptTitle="Informal sector collection" prompt="Collection of waste by the informal sector relates to the value-chain (i.e. waste picking) activities only." sqref="B24:B29" xr:uid="{00000000-0002-0000-0300-000009000000}"/>
    <dataValidation allowBlank="1" showErrorMessage="1" promptTitle="Baseline values" prompt="The baseline values shown here relate to those input on the &quot;Baseline data entry&quot; sheet and provide reference for input of scenarios." sqref="E10 E21 E62 E67 E90" xr:uid="{00000000-0002-0000-0300-00000A000000}"/>
    <dataValidation allowBlank="1" showErrorMessage="1" promptTitle="Population" prompt="Population refers to the permanent population within the municipality. If tourism is prevalent within the area, the average daily number of tourists should also be included within this number." sqref="B12" xr:uid="{00000000-0002-0000-0300-00000B000000}"/>
    <dataValidation allowBlank="1" showErrorMessage="1" promptTitle="MSW generation per capita" prompt="MSW includes household, commercial, institutional and public solid waste. This value should be determined by applying waste characterisation studies within the study area as discussed in the user manual." sqref="B13" xr:uid="{00000000-0002-0000-0300-00000C000000}"/>
    <dataValidation allowBlank="1" showErrorMessage="1" promptTitle="MSW Composition" prompt="The MSW composition should be determined using waste characterisation studies where possible. The WFD categorises waste into 6 broad types as defined in the user manual. " sqref="B14:B20" xr:uid="{00000000-0002-0000-0300-00000D000000}"/>
    <dataValidation allowBlank="1" showErrorMessage="1" promptTitle="Metadata" prompt="Please populate the metadata fields with any useful information or explanations that relate to the data entry value." sqref="J11 J22 J63 J68 J91" xr:uid="{00000000-0002-0000-0300-00000E000000}"/>
    <dataValidation allowBlank="1" showErrorMessage="1" promptTitle="Energy from waste (EfW)" prompt="Includes incineration and advanced thermal treatments (gasification, pyrolysis etc.) but excludes the open burning of waste and the burning of waste as a fuel by residents." sqref="B30:B35" xr:uid="{00000000-0002-0000-0300-00000F000000}"/>
    <dataValidation allowBlank="1" showErrorMessage="1" promptTitle="Informal service-chain" prompt="Informal service-chain collection refers to mixed waste collection services provided typically for a fee by the informal sector. This differs from the informal value-chain which selectively collect materials which have a resale value." sqref="B48" xr:uid="{00000000-0002-0000-0300-000010000000}"/>
    <dataValidation allowBlank="1" showErrorMessage="1" promptTitle="Managed in controlled facilities" prompt="The “proportion of waste managed in controlled facilities” relates to the SDG11.6.1 sub-indicator. Although this sub-indicator is for the total of all recovery and disposal facilities, here these are separated into categories for easier assignment." sqref="B64:B66" xr:uid="{00000000-0002-0000-0300-000011000000}"/>
    <dataValidation type="list" allowBlank="1" showInputMessage="1" showErrorMessage="1" sqref="F48:H48" xr:uid="{00000000-0002-0000-0300-000012000000}">
      <formula1>Type8</formula1>
    </dataValidation>
    <dataValidation type="list" allowBlank="1" showInputMessage="1" showErrorMessage="1" sqref="F92:H109" xr:uid="{00000000-0002-0000-0300-000013000000}">
      <formula1>Type9</formula1>
    </dataValidation>
  </dataValidations>
  <hyperlinks>
    <hyperlink ref="I92:I95" location="'Quick Reference Guide'!A372" tooltip="Click to view decision tree and descriptive tables" display="Please refer to the &quot;Diffuse voluntary&quot; fate decision tree within the user manual or quick reference guide to allocate a value based on the descriptions given. " xr:uid="{00000000-0004-0000-0300-000000000000}"/>
    <hyperlink ref="I96:I98" location="'Quick Reference Guide'!A460" tooltip="Click to view decision tree and descriptive tables" display="Please refer to the &quot;Diffuse involuntary&quot; fate decision tree within the user manual or quick reference guide to allocate a value based on the descriptions given." xr:uid="{00000000-0004-0000-0300-000001000000}"/>
    <hyperlink ref="I99:I102" location="'Quick Reference Guide'!A530" tooltip="Click to view decision tree and descriptive tables" display="Please refer to the &quot;Point-source voluntary&quot; fate decision tree within the user manual or quick reference guide to allocate a value based on the descriptions given. The normalised fate percentage is with respect to only the portion of waste voluntarily le" xr:uid="{00000000-0004-0000-0300-000002000000}"/>
    <hyperlink ref="I107:I109" location="'Quick Reference Guide'!A614" tooltip="Click to view decision tree and descriptive tables" display="Please refer to the &quot;Point-source involuntary&quot; fate decision tree within the user manual or quick reference guide to allocate a value based on the descriptions given." xr:uid="{00000000-0004-0000-0300-000003000000}"/>
    <hyperlink ref="C69" location="'Quick Reference Guide'!A41" tooltip="Click to view descriptive table" display="Collection containers" xr:uid="{00000000-0004-0000-0300-000004000000}"/>
    <hyperlink ref="C70" location="'Quick Reference Guide'!A50" tooltip="Click to view descriptive tables" display="Loading method" xr:uid="{00000000-0004-0000-0300-000005000000}"/>
    <hyperlink ref="C71" location="'Quick Reference Guide'!A57" tooltip="Click to view descriptive table" display="Primary transportation" xr:uid="{00000000-0004-0000-0300-000006000000}"/>
    <hyperlink ref="C72" location="'Quick Reference Guide'!A69" tooltip="Click to view descriptive table" display="Multiple handling / waste transfer" xr:uid="{00000000-0004-0000-0300-000007000000}"/>
    <hyperlink ref="B69:B72" location="'Quick Reference Guide'!A1" tooltip="Click for further information" display="Plastic waste leakage from collection services" xr:uid="{00000000-0004-0000-0300-000008000000}"/>
    <hyperlink ref="C73" location="'Quick Reference Guide'!A100" tooltip="Click to view descriptive table" display="Collection method" xr:uid="{00000000-0004-0000-0300-000009000000}"/>
    <hyperlink ref="C74" location="'Quick Reference Guide'!A107" tooltip="Click to view descriptive table" display="Transportation method" xr:uid="{00000000-0004-0000-0300-00000A000000}"/>
    <hyperlink ref="B73:B74" location="'Quick Reference Guide'!A78" tooltip="Click for further information" display="Plastic waste leakage during informal value-chain  collection" xr:uid="{00000000-0004-0000-0300-00000B000000}"/>
    <hyperlink ref="I64:I66" location="'Quick Reference Guide'!A689" tooltip="Click to view" display="Please refer to the user manual for instructions on what is to be counted as &quot;managed in controlled facilities&quot;." xr:uid="{00000000-0004-0000-0300-00000C000000}"/>
    <hyperlink ref="C76" location="'Quick Reference Guide'!A144" tooltip="Click to view descriptive table" display="Disposal of non-recyclables" xr:uid="{00000000-0004-0000-0300-00000D000000}"/>
    <hyperlink ref="B75:B76" location="'Quick Reference Guide'!A118" tooltip="Click for further information" display="Plastic waste leakage during formal sorting" xr:uid="{00000000-0004-0000-0300-00000E000000}"/>
    <hyperlink ref="I69:I72" location="'Quick Reference Guide'!A1" tooltip="Click to view decision tree and descriptive tables" display="Please refer to the &quot;Leakage from collection services&quot; leakage decision tree within the user manual or quick reference guide to allocate a value based on the descriptions given." xr:uid="{00000000-0004-0000-0300-00000F000000}"/>
    <hyperlink ref="I73:I74" location="'Quick Reference Guide'!A78" tooltip="Click to view decision tree and descriptive tables" display="Please refer to the &quot;Leakage from informal collection&quot; leakage decision tree within the user manual or quick reference guide to allocate a value based on the descriptions given." xr:uid="{00000000-0004-0000-0300-000010000000}"/>
    <hyperlink ref="I75:I76" location="'Quick Reference Guide'!A118" tooltip="Click to view decision tree and descriptive tables" display="Please refer to the &quot;Leakage from formal sorting&quot; leakage decision tree within the user manual or quick reference guide to allocate a value based on the descriptions given." xr:uid="{00000000-0004-0000-0300-000011000000}"/>
    <hyperlink ref="C78" location="'Quick Reference Guide'!A182" tooltip="Click to view descriptive table" display="Disposal of non-recyclables" xr:uid="{00000000-0004-0000-0300-000012000000}"/>
    <hyperlink ref="B77:B78" location="'Quick Reference Guide'!A155" tooltip="Click for further information" display="Plastic waste leakage during informal service chain sorting" xr:uid="{00000000-0004-0000-0300-000013000000}"/>
    <hyperlink ref="I77:I78" location="'Quick Reference Guide'!A155" tooltip="Click to view decision tree and descriptive tables" display="Please refer to the &quot;Leakage from informal sorting&quot; leakage decision tree within the user manual or quick reference guide to allocate a value based on the descriptions given." xr:uid="{00000000-0004-0000-0300-000014000000}"/>
    <hyperlink ref="I79:I81" location="'Quick Reference Guide'!A194" tooltip="Click to view decision tree and descriptive tables" display="Please refer to the &quot;Leakage from transportation&quot; leakage decision tree within the user manual or quick reference guide to allocate a value based on the descriptions given." xr:uid="{00000000-0004-0000-0300-000015000000}"/>
    <hyperlink ref="I82:I87" location="'Quick Reference Guide'!A238" tooltip="Click to view decision tree and descriptive tables" display="Please refer to the &quot;Leakage from disposal&quot; leakage decision tree within the user manual or quick reference guide to allocate a value based on the descriptions given." xr:uid="{00000000-0004-0000-0300-000016000000}"/>
    <hyperlink ref="C82" location="'Quick Reference Guide'!A273" tooltip="Click to view descriptive table" display="Environmental hazards" xr:uid="{00000000-0004-0000-0300-000017000000}"/>
    <hyperlink ref="C83" location="'Quick Reference Guide'!A284" tooltip="Click to view descriptive table" display="Exposure to weather" xr:uid="{00000000-0004-0000-0300-000018000000}"/>
    <hyperlink ref="C84" location="'Quick Reference Guide'!A291" tooltip="Click to view descriptive table" display="Waste handling" xr:uid="{00000000-0004-0000-0300-000019000000}"/>
    <hyperlink ref="C85" location="'Quick Reference Guide'!A299" tooltip="Click to view descriptive table" display="Coverage" xr:uid="{00000000-0004-0000-0300-00001A000000}"/>
    <hyperlink ref="C86" location="'Quick Reference Guide'!A307" tooltip="Click to view descriptive table" display="Burning" xr:uid="{00000000-0004-0000-0300-00001B000000}"/>
    <hyperlink ref="C87" location="'Quick Reference Guide'!A318" tooltip="Click to view descriptive table" display="Fencing" xr:uid="{00000000-0004-0000-0300-00001C000000}"/>
    <hyperlink ref="B82:B87" location="'Quick Reference Guide'!A238" tooltip="Click for further information" display="Plastic waste leakage from designated disposal sites" xr:uid="{00000000-0004-0000-0300-00001D000000}"/>
    <hyperlink ref="I88:I89" location="'Quick Reference Guide'!A326" tooltip="Click to view decision tree and descriptive tables" display="Please refer to the &quot;drain retention&quot; leakage decision tree within the user manual or quick reference guide to allocate a value based on the descriptions given." xr:uid="{00000000-0004-0000-0300-00001E000000}"/>
    <hyperlink ref="C88" location="'Quick Reference Guide'!A344" tooltip="Click to view descriptive table" display="Frequency of rainfall / storm events" xr:uid="{00000000-0004-0000-0300-00001F000000}"/>
    <hyperlink ref="C89" location="'Quick Reference Guide'!A353" tooltip="Click to view descriptive table" display="Drain clean-up" xr:uid="{00000000-0004-0000-0300-000020000000}"/>
    <hyperlink ref="B88:B89" location="'Quick Reference Guide'!A326" tooltip="Click for further information" display="Plastic waste in storm drains entering waterways" xr:uid="{00000000-0004-0000-0300-000021000000}"/>
    <hyperlink ref="C92" location="'Quick Reference Guide'!A394" tooltip="Click to view descriptive table" display="Level of plastic openly burnt" xr:uid="{00000000-0004-0000-0300-000022000000}"/>
    <hyperlink ref="C93" location="'Quick Reference Guide'!A405" tooltip="Click to view descriptive table" display="Level of direct dumping on land" xr:uid="{00000000-0004-0000-0300-000023000000}"/>
    <hyperlink ref="C94" location="'Quick Reference Guide'!A427" tooltip="Click to view descriptive table" display="Level of direct dumping in drains" xr:uid="{00000000-0004-0000-0300-000024000000}"/>
    <hyperlink ref="C95" location="'Quick Reference Guide'!A449" tooltip="Click to view descriptive table" display="Level of direct dumping in water systems" xr:uid="{00000000-0004-0000-0300-000025000000}"/>
    <hyperlink ref="B92:B95" location="'Quick Reference Guide'!A372" tooltip="Click for further information" display="Fate of uncollected plastic waste" xr:uid="{00000000-0004-0000-0300-000026000000}"/>
    <hyperlink ref="C96" location="'Quick Reference Guide'!A480" tooltip="Click to view descriptive table" display="Level of plastic to land" xr:uid="{00000000-0004-0000-0300-000027000000}"/>
    <hyperlink ref="C97" location="'Quick Reference Guide'!A501" tooltip="Click to view descriptive table" display="Level of plastic to drains" xr:uid="{00000000-0004-0000-0300-000028000000}"/>
    <hyperlink ref="C98" location="'Quick Reference Guide'!A519" tooltip="Click to view descriptive table" display="Level of plastic to water systems" xr:uid="{00000000-0004-0000-0300-000029000000}"/>
    <hyperlink ref="B96:B98" location="'Quick Reference Guide'!A460" tooltip="Click for further information" display="Fate of plastic waste leaked during collection and transportation" xr:uid="{00000000-0004-0000-0300-00002A000000}"/>
    <hyperlink ref="C99" location="'Quick Reference Guide'!A556" tooltip="Click to view descriptive table" display="Level of plastic openly burnt" xr:uid="{00000000-0004-0000-0300-00002B000000}"/>
    <hyperlink ref="C100" location="'Quick Reference Guide'!A566" tooltip="Click to view descriptive table" display="Level of direct dumping on land" xr:uid="{00000000-0004-0000-0300-00002C000000}"/>
    <hyperlink ref="C101" location="'Quick Reference Guide'!A588" tooltip="Click to view descriptive table" display="Level of direct dumping in drains" xr:uid="{00000000-0004-0000-0300-00002D000000}"/>
    <hyperlink ref="C102" location="'Quick Reference Guide'!A604" tooltip="Click to view descriptive table" display="Level of direct dumping to water systems" xr:uid="{00000000-0004-0000-0300-00002E000000}"/>
    <hyperlink ref="B99:B102" location="'Quick Reference Guide'!A530" tooltip="Click for further information" display="Fate of plastic waste leaked from formal sorting" xr:uid="{00000000-0004-0000-0300-00002F000000}"/>
    <hyperlink ref="I103:I106" location="'Quick Reference Guide'!A530" tooltip="Click to view decision tree and descriptive tables" display="Please refer to the &quot;Point-source voluntary&quot; fate decision tree within the user manual or quick reference guide to allocate a value based on the descriptions given. The normalised fate percentage is with respect to only the portion of waste voluntarily le" xr:uid="{00000000-0004-0000-0300-000030000000}"/>
    <hyperlink ref="C103" location="'Quick Reference Guide'!A556" tooltip="Click to view descriptive table" display="Level of plastic openly burnt" xr:uid="{00000000-0004-0000-0300-000031000000}"/>
    <hyperlink ref="C104" location="'Quick Reference Guide'!A566" tooltip="Click to view descriptive table" display="Level of direct dumping on land" xr:uid="{00000000-0004-0000-0300-000032000000}"/>
    <hyperlink ref="C105" location="'Quick Reference Guide'!A588" tooltip="Click to view descriptive table" display="Level of direct dumping in drains" xr:uid="{00000000-0004-0000-0300-000033000000}"/>
    <hyperlink ref="C106" location="'Quick Reference Guide'!A604" tooltip="Click to view descriptive table" display="Level of direct dumping to water systems" xr:uid="{00000000-0004-0000-0300-000034000000}"/>
    <hyperlink ref="B103:B106" location="'Quick Reference Guide'!A530" tooltip="Click for further information" display="Fate of plastic waste leaked from formal sorting" xr:uid="{00000000-0004-0000-0300-000035000000}"/>
    <hyperlink ref="C107" location="'Quick Reference Guide'!A640" tooltip="Click to view descriptive table" display="Level of plastic to land" xr:uid="{00000000-0004-0000-0300-000036000000}"/>
    <hyperlink ref="C108" location="'Quick Reference Guide'!A659" tooltip="Click to view descriptive table" display="Level of plastic to drains" xr:uid="{00000000-0004-0000-0300-000037000000}"/>
    <hyperlink ref="C109" location="'Quick Reference Guide'!A677" tooltip="Click to view descriptive table" display="Level of plastic to water systems" xr:uid="{00000000-0004-0000-0300-000038000000}"/>
    <hyperlink ref="B107:B109" location="'Quick Reference Guide'!A614" tooltip="Click for further information" display="Fate of plastic waste leaked from designated disposal sites" xr:uid="{00000000-0004-0000-0300-000039000000}"/>
    <hyperlink ref="C79" location="'Quick Reference Guide'!A215" tooltip="Click to view descriptive table" display="Capacity vs load" xr:uid="{00000000-0004-0000-0300-00003A000000}"/>
    <hyperlink ref="C80" location="'Quick Reference Guide'!A222" tooltip="Click to view descriptive table" display="Waste containment" xr:uid="{00000000-0004-0000-0300-00003B000000}"/>
    <hyperlink ref="C81" location="'Quick Reference Guide'!A230" tooltip="Click to view descriptive table" display="Vehicle cover" xr:uid="{00000000-0004-0000-0300-00003C000000}"/>
  </hyperlinks>
  <pageMargins left="0.25" right="0.25" top="0.75" bottom="0.75" header="0.3" footer="0.3"/>
  <pageSetup paperSize="9" orientation="landscape" r:id="rId1"/>
  <headerFooter>
    <oddFooter>&amp;C&amp;P</oddFooter>
  </headerFooter>
  <ignoredErrors>
    <ignoredError sqref="E12:E20" unlocked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L116"/>
  <sheetViews>
    <sheetView showGridLines="0" showRowColHeaders="0" zoomScaleNormal="100" workbookViewId="0"/>
  </sheetViews>
  <sheetFormatPr baseColWidth="10" defaultColWidth="9" defaultRowHeight="12.75" x14ac:dyDescent="0.2"/>
  <cols>
    <col min="1" max="1" width="3.625" style="7" customWidth="1"/>
    <col min="2" max="2" width="8.625" style="7" customWidth="1"/>
    <col min="3" max="3" width="12.875" style="7" customWidth="1"/>
    <col min="4" max="8" width="3.625" style="7" customWidth="1"/>
    <col min="9" max="9" width="10.625" style="16" customWidth="1"/>
    <col min="10" max="14" width="3.625" style="7" customWidth="1"/>
    <col min="15" max="15" width="10.625" style="7" customWidth="1"/>
    <col min="16" max="16" width="3.625" style="7" customWidth="1"/>
    <col min="17" max="19" width="9" style="7"/>
    <col min="20" max="20" width="3.375" style="7" customWidth="1"/>
    <col min="21" max="21" width="4.25" style="7" customWidth="1"/>
    <col min="22" max="22" width="4.125" style="7" customWidth="1"/>
    <col min="23" max="25" width="9" style="7"/>
    <col min="26" max="28" width="3.375" style="7" customWidth="1"/>
    <col min="29" max="29" width="14.375" style="7" customWidth="1"/>
    <col min="30" max="30" width="9" style="7"/>
    <col min="31" max="31" width="9" style="7" customWidth="1"/>
    <col min="32" max="32" width="13.25" style="7" customWidth="1"/>
    <col min="33" max="33" width="23" style="7" bestFit="1" customWidth="1"/>
    <col min="34" max="34" width="10.75" style="7" customWidth="1"/>
    <col min="35" max="35" width="11.625" style="7" bestFit="1" customWidth="1"/>
    <col min="36" max="16384" width="9" style="7"/>
  </cols>
  <sheetData>
    <row r="1" spans="1:32" x14ac:dyDescent="0.2">
      <c r="A1" s="332"/>
      <c r="B1" s="592" t="s">
        <v>187</v>
      </c>
      <c r="C1" s="592"/>
      <c r="D1" s="332"/>
      <c r="E1" s="332"/>
      <c r="F1" s="337"/>
      <c r="G1" s="592" t="s">
        <v>188</v>
      </c>
      <c r="H1" s="332"/>
      <c r="I1" s="593"/>
      <c r="J1" s="332"/>
      <c r="K1" s="332"/>
      <c r="L1" s="332"/>
      <c r="M1" s="332"/>
      <c r="N1" s="332"/>
      <c r="O1" s="332"/>
      <c r="P1" s="332"/>
      <c r="Q1" s="332"/>
      <c r="R1" s="332"/>
      <c r="S1" s="332"/>
      <c r="T1" s="332"/>
      <c r="U1" s="332"/>
      <c r="V1" s="332"/>
      <c r="W1" s="332"/>
      <c r="X1" s="332"/>
      <c r="Y1" s="332"/>
      <c r="Z1" s="332"/>
      <c r="AA1" s="332"/>
      <c r="AB1" s="332"/>
      <c r="AC1" s="332"/>
      <c r="AD1" s="332"/>
      <c r="AE1" s="332"/>
    </row>
    <row r="2" spans="1:32" ht="15.75" x14ac:dyDescent="0.25">
      <c r="A2" s="332"/>
      <c r="B2" s="332" t="s">
        <v>189</v>
      </c>
      <c r="C2" s="220" t="s">
        <v>9</v>
      </c>
      <c r="D2" s="332"/>
      <c r="E2" s="332"/>
      <c r="F2" s="337"/>
      <c r="G2" s="881" t="s">
        <v>190</v>
      </c>
      <c r="H2" s="881"/>
      <c r="I2" s="881"/>
      <c r="J2" s="881"/>
      <c r="K2" s="332"/>
      <c r="L2" s="332"/>
      <c r="M2" s="332"/>
      <c r="N2" s="332"/>
      <c r="O2" s="332"/>
      <c r="P2" s="332"/>
      <c r="Q2" s="332"/>
      <c r="R2" s="332"/>
      <c r="S2" s="332"/>
      <c r="T2" s="332"/>
      <c r="U2" s="332"/>
      <c r="V2" s="332"/>
      <c r="W2" s="332"/>
      <c r="X2" s="332"/>
      <c r="Y2" s="332"/>
      <c r="Z2" s="332"/>
      <c r="AA2" s="332"/>
      <c r="AB2" s="332"/>
      <c r="AC2" s="332"/>
      <c r="AD2" s="332"/>
      <c r="AE2" s="332"/>
    </row>
    <row r="3" spans="1:32" ht="15.75" x14ac:dyDescent="0.25">
      <c r="A3" s="332"/>
      <c r="B3" s="343" t="s">
        <v>191</v>
      </c>
      <c r="C3" s="220" t="s">
        <v>32</v>
      </c>
      <c r="D3" s="332"/>
      <c r="E3" s="332"/>
      <c r="F3" s="332"/>
      <c r="G3" s="881" t="s">
        <v>192</v>
      </c>
      <c r="H3" s="881"/>
      <c r="I3" s="881"/>
      <c r="J3" s="881"/>
      <c r="K3" s="332"/>
      <c r="L3" s="332"/>
      <c r="M3" s="332"/>
      <c r="N3" s="332"/>
      <c r="O3" s="332"/>
      <c r="P3" s="332"/>
      <c r="Q3" s="332"/>
      <c r="R3" s="332"/>
      <c r="S3" s="332"/>
      <c r="T3" s="332"/>
      <c r="U3" s="332"/>
      <c r="V3" s="332"/>
      <c r="W3" s="332"/>
      <c r="X3" s="332"/>
      <c r="Y3" s="332"/>
      <c r="Z3" s="332"/>
      <c r="AA3" s="332"/>
      <c r="AB3" s="332"/>
      <c r="AC3" s="332"/>
      <c r="AD3" s="332"/>
      <c r="AE3" s="332"/>
    </row>
    <row r="4" spans="1:32" ht="15.75" x14ac:dyDescent="0.25">
      <c r="A4" s="332"/>
      <c r="B4" s="343"/>
      <c r="C4" s="344"/>
      <c r="D4" s="332"/>
      <c r="E4" s="332"/>
      <c r="F4" s="332"/>
      <c r="G4" s="332"/>
      <c r="H4" s="332"/>
      <c r="I4" s="593"/>
      <c r="J4" s="332"/>
      <c r="K4" s="332"/>
      <c r="L4" s="332"/>
      <c r="M4" s="332"/>
      <c r="N4" s="332"/>
      <c r="O4" s="332"/>
      <c r="P4" s="332"/>
      <c r="Q4" s="332"/>
      <c r="R4" s="332"/>
      <c r="S4" s="332"/>
      <c r="T4" s="332"/>
      <c r="U4" s="332"/>
      <c r="V4" s="332"/>
      <c r="W4" s="332"/>
      <c r="X4" s="332"/>
      <c r="Y4" s="332"/>
      <c r="Z4" s="332"/>
      <c r="AA4" s="332"/>
      <c r="AB4" s="332"/>
      <c r="AC4" s="332"/>
      <c r="AD4" s="332"/>
      <c r="AE4" s="332"/>
    </row>
    <row r="5" spans="1:32" ht="23.25" x14ac:dyDescent="0.35">
      <c r="A5" s="594" t="s">
        <v>193</v>
      </c>
      <c r="B5" s="595" t="s">
        <v>194</v>
      </c>
      <c r="C5" s="344"/>
      <c r="D5" s="332"/>
      <c r="E5" s="332"/>
      <c r="F5" s="332"/>
      <c r="G5" s="332"/>
      <c r="H5" s="332"/>
      <c r="I5" s="593"/>
      <c r="J5" s="332"/>
      <c r="K5" s="332"/>
      <c r="L5" s="332"/>
      <c r="M5" s="332"/>
      <c r="N5" s="332"/>
      <c r="O5" s="332"/>
      <c r="P5" s="332"/>
      <c r="Q5" s="332"/>
      <c r="R5" s="332"/>
      <c r="S5" s="332"/>
      <c r="T5" s="332"/>
      <c r="U5" s="332"/>
      <c r="V5" s="332"/>
      <c r="W5" s="332"/>
      <c r="X5" s="332"/>
      <c r="Y5" s="332"/>
      <c r="Z5" s="332"/>
      <c r="AA5" s="332"/>
      <c r="AB5" s="332"/>
      <c r="AC5" s="332"/>
      <c r="AD5" s="332"/>
      <c r="AE5" s="332"/>
    </row>
    <row r="6" spans="1:32" ht="15.75" x14ac:dyDescent="0.25">
      <c r="A6" s="332"/>
      <c r="B6" s="343"/>
      <c r="C6" s="344"/>
      <c r="D6" s="332"/>
      <c r="E6" s="332"/>
      <c r="F6" s="332"/>
      <c r="G6" s="332"/>
      <c r="H6" s="332"/>
      <c r="I6" s="593"/>
      <c r="J6" s="332"/>
      <c r="K6" s="332"/>
      <c r="L6" s="332"/>
      <c r="M6" s="332"/>
      <c r="N6" s="332"/>
      <c r="O6" s="332"/>
      <c r="P6" s="332"/>
      <c r="Q6" s="332"/>
      <c r="R6" s="332"/>
      <c r="S6" s="332"/>
      <c r="T6" s="332"/>
      <c r="U6" s="332"/>
      <c r="V6" s="332"/>
      <c r="W6" s="332"/>
      <c r="X6" s="332"/>
      <c r="Y6" s="332"/>
      <c r="Z6" s="332"/>
      <c r="AA6" s="332"/>
      <c r="AB6" s="332"/>
      <c r="AC6" s="332"/>
      <c r="AD6" s="332"/>
      <c r="AE6" s="332"/>
    </row>
    <row r="7" spans="1:32" ht="15.75" x14ac:dyDescent="0.25">
      <c r="A7" s="332"/>
      <c r="B7" s="343"/>
      <c r="C7" s="344"/>
      <c r="D7" s="332"/>
      <c r="E7" s="332"/>
      <c r="F7" s="332"/>
      <c r="G7" s="332"/>
      <c r="H7" s="332"/>
      <c r="I7" s="593"/>
      <c r="J7" s="332"/>
      <c r="K7" s="332"/>
      <c r="L7" s="332"/>
      <c r="M7" s="332"/>
      <c r="N7" s="332"/>
      <c r="O7" s="332"/>
      <c r="P7" s="332"/>
      <c r="Q7" s="332"/>
      <c r="R7" s="332"/>
      <c r="S7" s="332"/>
      <c r="T7" s="332"/>
      <c r="U7" s="332"/>
      <c r="V7" s="332"/>
      <c r="W7" s="332"/>
      <c r="X7" s="332"/>
      <c r="Y7" s="332"/>
      <c r="Z7" s="332"/>
      <c r="AA7" s="332"/>
      <c r="AB7" s="332"/>
      <c r="AC7" s="332"/>
      <c r="AD7" s="332"/>
      <c r="AE7" s="332"/>
    </row>
    <row r="8" spans="1:32" ht="15.75" customHeight="1" x14ac:dyDescent="0.25">
      <c r="A8" s="332"/>
      <c r="B8" s="332"/>
      <c r="C8" s="332"/>
      <c r="D8" s="332"/>
      <c r="E8" s="332"/>
      <c r="F8" s="332"/>
      <c r="G8" s="332"/>
      <c r="H8" s="332"/>
      <c r="I8" s="593"/>
      <c r="J8" s="332"/>
      <c r="K8" s="332"/>
      <c r="L8" s="332"/>
      <c r="M8" s="332"/>
      <c r="N8" s="332"/>
      <c r="O8" s="332"/>
      <c r="P8" s="332"/>
      <c r="Q8" s="332"/>
      <c r="R8" s="596">
        <f>IF(C2=Settings!X3,INDEX(Calculations!C135:C141,MATCH(C3,Calculations!B135:B141,0)),IF(C2=Settings!X4,INDEX(Calculations!D135:D141,MATCH(C3,Calculations!B135:B141,0)),IF(C2=Settings!X5,INDEX(Calculations!E135:E141,MATCH(C3,Calculations!B135:B141,0)),IF(C2=Settings!X6,INDEX(Calculations!F135:F141,MATCH(C3,Calculations!B135:B141,0)),0))))</f>
        <v>0</v>
      </c>
      <c r="S8" s="332"/>
      <c r="T8" s="332"/>
      <c r="U8" s="597"/>
      <c r="V8" s="854">
        <f>IF(C2=Settings!X3,INDEX(Calculations!C119:C125,MATCH(C3,Calculations!B119:B125,0)),IF(C2=Settings!X4,INDEX(Calculations!D119:D125,MATCH(C3,Calculations!B119:B125,0)),IF(C2=Settings!X5,INDEX(Calculations!E119:E125,MATCH(C3,Calculations!B119:B125,0)),IF(C2=Settings!X6,INDEX(Calculations!F119:F125,MATCH(C3,Calculations!B119:B125,0)),0))))</f>
        <v>0</v>
      </c>
      <c r="W8" s="854"/>
      <c r="X8" s="596"/>
      <c r="Y8" s="596">
        <f>IF(C2=Settings!X3,INDEX(Calculations!C103:C109,MATCH(C3,Calculations!B103:B109,0)),IF(C2=Settings!X4,INDEX(Calculations!D103:D109,MATCH(C3,Calculations!B103:B109,0)),IF(C2=Settings!X5,INDEX(Calculations!E103:E109,MATCH(C3,Calculations!B103:B109,0)),IF(C2=Settings!X6,INDEX(Calculations!F103:F109,MATCH(C3,Calculations!B103:B109,0)),0))))</f>
        <v>0</v>
      </c>
      <c r="Z8" s="845"/>
      <c r="AA8" s="845"/>
      <c r="AB8" s="845"/>
      <c r="AC8" s="332"/>
      <c r="AD8" s="906" t="s">
        <v>1</v>
      </c>
      <c r="AE8" s="907"/>
      <c r="AF8" s="908"/>
    </row>
    <row r="9" spans="1:32" ht="15.75" customHeight="1" x14ac:dyDescent="0.2">
      <c r="A9" s="332"/>
      <c r="B9" s="332"/>
      <c r="C9" s="332"/>
      <c r="D9" s="332"/>
      <c r="E9" s="332"/>
      <c r="F9" s="332"/>
      <c r="G9" s="332"/>
      <c r="H9" s="332"/>
      <c r="I9" s="593"/>
      <c r="J9" s="332"/>
      <c r="K9" s="332"/>
      <c r="L9" s="332"/>
      <c r="M9" s="332"/>
      <c r="N9" s="332"/>
      <c r="O9" s="332"/>
      <c r="P9" s="332"/>
      <c r="Q9" s="332"/>
      <c r="R9" s="598" t="e">
        <f>IF(C2=Settings!X3,Calculations!G135,-1)</f>
        <v>#N/A</v>
      </c>
      <c r="S9" s="332"/>
      <c r="T9" s="332"/>
      <c r="U9" s="332"/>
      <c r="V9" s="598" t="e">
        <f>IF(C2=Settings!X3,Calculations!G119,-1)</f>
        <v>#DIV/0!</v>
      </c>
      <c r="W9" s="332"/>
      <c r="X9" s="599"/>
      <c r="Y9" s="599" t="e">
        <f>IF(C2=Settings!X3,Calculations!G103,-1)</f>
        <v>#N/A</v>
      </c>
      <c r="Z9" s="855"/>
      <c r="AA9" s="855"/>
      <c r="AB9" s="855"/>
      <c r="AC9" s="332"/>
      <c r="AD9" s="690"/>
      <c r="AE9" s="610" t="s">
        <v>195</v>
      </c>
      <c r="AF9" s="691"/>
    </row>
    <row r="10" spans="1:32" x14ac:dyDescent="0.2">
      <c r="A10" s="332"/>
      <c r="B10" s="332"/>
      <c r="C10" s="332"/>
      <c r="D10" s="332"/>
      <c r="E10" s="332"/>
      <c r="F10" s="332"/>
      <c r="G10" s="332"/>
      <c r="H10" s="332"/>
      <c r="I10" s="593"/>
      <c r="J10" s="332"/>
      <c r="K10" s="332"/>
      <c r="L10" s="332"/>
      <c r="M10" s="332"/>
      <c r="N10" s="332"/>
      <c r="O10" s="332"/>
      <c r="P10" s="332"/>
      <c r="Q10" s="332"/>
      <c r="R10" s="332"/>
      <c r="S10" s="332"/>
      <c r="T10" s="332"/>
      <c r="U10" s="332"/>
      <c r="V10" s="332"/>
      <c r="W10" s="332"/>
      <c r="X10" s="332"/>
      <c r="Y10" s="332"/>
      <c r="Z10" s="332"/>
      <c r="AA10" s="332"/>
      <c r="AB10" s="332"/>
      <c r="AC10" s="332"/>
      <c r="AD10" s="600"/>
      <c r="AE10" s="848" t="s">
        <v>196</v>
      </c>
      <c r="AF10" s="849"/>
    </row>
    <row r="11" spans="1:32" ht="12.75" customHeight="1" x14ac:dyDescent="0.2">
      <c r="A11" s="332"/>
      <c r="B11" s="332"/>
      <c r="C11" s="332"/>
      <c r="D11" s="332"/>
      <c r="E11" s="332"/>
      <c r="F11" s="332"/>
      <c r="G11" s="332"/>
      <c r="H11" s="332"/>
      <c r="I11" s="593"/>
      <c r="J11" s="332"/>
      <c r="K11" s="332"/>
      <c r="L11" s="332"/>
      <c r="M11" s="332"/>
      <c r="N11" s="332"/>
      <c r="O11" s="332"/>
      <c r="P11" s="332"/>
      <c r="Q11" s="332"/>
      <c r="R11" s="332"/>
      <c r="S11" s="332"/>
      <c r="T11" s="332"/>
      <c r="U11" s="332"/>
      <c r="V11" s="332"/>
      <c r="W11" s="332"/>
      <c r="X11" s="332"/>
      <c r="Y11" s="332"/>
      <c r="Z11" s="332"/>
      <c r="AA11" s="332"/>
      <c r="AB11" s="332"/>
      <c r="AC11" s="332"/>
      <c r="AD11" s="610"/>
      <c r="AE11" s="909" t="s">
        <v>197</v>
      </c>
      <c r="AF11" s="910"/>
    </row>
    <row r="12" spans="1:32" x14ac:dyDescent="0.2">
      <c r="A12" s="332"/>
      <c r="B12" s="332"/>
      <c r="C12" s="332"/>
      <c r="D12" s="332"/>
      <c r="E12" s="602"/>
      <c r="F12" s="332"/>
      <c r="G12" s="332"/>
      <c r="H12" s="332"/>
      <c r="I12" s="593"/>
      <c r="J12" s="332"/>
      <c r="K12" s="332"/>
      <c r="L12" s="332"/>
      <c r="M12" s="332"/>
      <c r="N12" s="332"/>
      <c r="O12" s="332"/>
      <c r="P12" s="332"/>
      <c r="Q12" s="332"/>
      <c r="R12" s="332"/>
      <c r="S12" s="332"/>
      <c r="T12" s="332"/>
      <c r="U12" s="332"/>
      <c r="V12" s="332"/>
      <c r="W12" s="332"/>
      <c r="X12" s="332"/>
      <c r="Y12" s="332"/>
      <c r="Z12" s="332"/>
      <c r="AA12" s="332"/>
      <c r="AB12" s="332"/>
      <c r="AC12" s="332"/>
      <c r="AD12" s="166"/>
      <c r="AE12" s="909"/>
      <c r="AF12" s="910"/>
    </row>
    <row r="13" spans="1:32" x14ac:dyDescent="0.2">
      <c r="A13" s="332"/>
      <c r="B13" s="332"/>
      <c r="C13" s="332"/>
      <c r="D13" s="332"/>
      <c r="E13" s="332"/>
      <c r="F13" s="332"/>
      <c r="G13" s="332"/>
      <c r="H13" s="332"/>
      <c r="I13" s="593"/>
      <c r="J13" s="332"/>
      <c r="K13" s="332"/>
      <c r="L13" s="332"/>
      <c r="M13" s="332"/>
      <c r="N13" s="332"/>
      <c r="O13" s="332"/>
      <c r="P13" s="332"/>
      <c r="Q13" s="332"/>
      <c r="R13" s="332"/>
      <c r="S13" s="332"/>
      <c r="T13" s="332"/>
      <c r="U13" s="332"/>
      <c r="V13" s="332"/>
      <c r="W13" s="332"/>
      <c r="X13" s="332"/>
      <c r="Y13" s="332"/>
      <c r="Z13" s="332"/>
      <c r="AA13" s="332"/>
      <c r="AB13" s="332"/>
      <c r="AC13" s="332"/>
      <c r="AD13" s="166"/>
      <c r="AE13" s="601" t="s">
        <v>198</v>
      </c>
      <c r="AF13" s="692"/>
    </row>
    <row r="14" spans="1:32" x14ac:dyDescent="0.2">
      <c r="A14" s="332"/>
      <c r="B14" s="332"/>
      <c r="C14" s="603"/>
      <c r="D14" s="603"/>
      <c r="E14" s="833" t="s">
        <v>199</v>
      </c>
      <c r="F14" s="834"/>
      <c r="G14" s="835"/>
      <c r="H14" s="603"/>
      <c r="I14" s="604"/>
      <c r="J14" s="603"/>
      <c r="K14" s="833" t="s">
        <v>200</v>
      </c>
      <c r="L14" s="834"/>
      <c r="M14" s="835"/>
      <c r="N14" s="603"/>
      <c r="O14" s="603"/>
      <c r="P14" s="603"/>
      <c r="Q14" s="332"/>
      <c r="R14" s="332"/>
      <c r="S14" s="332"/>
      <c r="T14" s="332"/>
      <c r="U14" s="332"/>
      <c r="V14" s="332"/>
      <c r="W14" s="332"/>
      <c r="X14" s="332"/>
      <c r="Y14" s="332"/>
      <c r="Z14" s="332"/>
      <c r="AA14" s="332"/>
      <c r="AB14" s="332"/>
      <c r="AC14" s="332"/>
      <c r="AD14" s="605">
        <f>0</f>
        <v>0</v>
      </c>
      <c r="AE14" s="601" t="s">
        <v>201</v>
      </c>
      <c r="AF14" s="692"/>
    </row>
    <row r="15" spans="1:32" x14ac:dyDescent="0.2">
      <c r="A15" s="332"/>
      <c r="B15" s="332"/>
      <c r="C15" s="603"/>
      <c r="D15" s="603"/>
      <c r="E15" s="836"/>
      <c r="F15" s="837"/>
      <c r="G15" s="838"/>
      <c r="H15" s="603"/>
      <c r="I15" s="593"/>
      <c r="J15" s="603"/>
      <c r="K15" s="836"/>
      <c r="L15" s="837"/>
      <c r="M15" s="838"/>
      <c r="N15" s="603"/>
      <c r="O15" s="207" t="e">
        <f>IF(C2=Settings!X3,INDEX(Calculations!C167:C173,MATCH(C3,Calculations!B167:B173,0)),IF(C2=Settings!X4,INDEX(Calculations!D167:D173,MATCH(C3,Calculations!B167:B173,0)),IF(C2=Settings!X5,INDEX(Calculations!E167:E173,MATCH(C3,Calculations!B167:B173,0)),IF(C2=Settings!X6,INDEX(Calculations!F167:F173,MATCH(C3,Calculations!B167:B173,0)),0))))</f>
        <v>#N/A</v>
      </c>
      <c r="P15" s="603"/>
      <c r="Q15" s="833" t="s">
        <v>202</v>
      </c>
      <c r="R15" s="834"/>
      <c r="S15" s="834"/>
      <c r="T15" s="834"/>
      <c r="U15" s="834"/>
      <c r="V15" s="834"/>
      <c r="W15" s="834"/>
      <c r="X15" s="834"/>
      <c r="Y15" s="834"/>
      <c r="Z15" s="834"/>
      <c r="AA15" s="834"/>
      <c r="AB15" s="835"/>
      <c r="AC15" s="332"/>
      <c r="AD15" s="605">
        <v>0.4</v>
      </c>
      <c r="AE15" s="601" t="s">
        <v>203</v>
      </c>
      <c r="AF15" s="692"/>
    </row>
    <row r="16" spans="1:32" x14ac:dyDescent="0.2">
      <c r="A16" s="332"/>
      <c r="B16" s="332"/>
      <c r="C16" s="603"/>
      <c r="D16" s="603"/>
      <c r="E16" s="836"/>
      <c r="F16" s="837"/>
      <c r="G16" s="838"/>
      <c r="H16" s="603"/>
      <c r="I16" s="593"/>
      <c r="J16" s="603"/>
      <c r="K16" s="836"/>
      <c r="L16" s="837"/>
      <c r="M16" s="838"/>
      <c r="N16" s="603"/>
      <c r="O16" s="606" t="e">
        <f>IF(C2=Settings!X3,Calculations!G167,-1)</f>
        <v>#N/A</v>
      </c>
      <c r="P16" s="603"/>
      <c r="Q16" s="836"/>
      <c r="R16" s="837"/>
      <c r="S16" s="837"/>
      <c r="T16" s="837"/>
      <c r="U16" s="837"/>
      <c r="V16" s="837"/>
      <c r="W16" s="837"/>
      <c r="X16" s="837"/>
      <c r="Y16" s="837"/>
      <c r="Z16" s="837"/>
      <c r="AA16" s="837"/>
      <c r="AB16" s="838"/>
      <c r="AC16" s="332"/>
      <c r="AD16" s="605">
        <v>0.8</v>
      </c>
      <c r="AE16" s="601" t="s">
        <v>204</v>
      </c>
      <c r="AF16" s="692"/>
    </row>
    <row r="17" spans="1:33" x14ac:dyDescent="0.2">
      <c r="A17" s="332"/>
      <c r="B17" s="332"/>
      <c r="C17" s="332"/>
      <c r="D17" s="332"/>
      <c r="E17" s="836"/>
      <c r="F17" s="837"/>
      <c r="G17" s="838"/>
      <c r="H17" s="603"/>
      <c r="I17" s="207" t="e">
        <f>IF(C2=Settings!X3,INDEX(Calculations!C184:C190,MATCH(C3,Calculations!B184:B190,0)),IF(C2=Settings!X4,INDEX(Calculations!D184:D190,MATCH(C3,Calculations!B184:B190,0)),IF(C2=Settings!X5,INDEX(Calculations!E184:E190,MATCH(C3,Calculations!B184:B190,0)),IF(C2=Settings!X6,INDEX(Calculations!F184:F190,MATCH(C3,Calculations!B184:B190,0)),0))))</f>
        <v>#N/A</v>
      </c>
      <c r="J17" s="603"/>
      <c r="K17" s="836"/>
      <c r="L17" s="837"/>
      <c r="M17" s="838"/>
      <c r="N17" s="603"/>
      <c r="O17" s="603"/>
      <c r="P17" s="603"/>
      <c r="Q17" s="836"/>
      <c r="R17" s="837"/>
      <c r="S17" s="837"/>
      <c r="T17" s="837"/>
      <c r="U17" s="837"/>
      <c r="V17" s="837"/>
      <c r="W17" s="837"/>
      <c r="X17" s="837"/>
      <c r="Y17" s="837"/>
      <c r="Z17" s="837"/>
      <c r="AA17" s="837"/>
      <c r="AB17" s="838"/>
      <c r="AC17" s="332"/>
      <c r="AD17" s="605">
        <v>0</v>
      </c>
      <c r="AE17" s="601" t="s">
        <v>205</v>
      </c>
      <c r="AF17" s="692"/>
    </row>
    <row r="18" spans="1:33" x14ac:dyDescent="0.2">
      <c r="A18" s="332"/>
      <c r="B18" s="332"/>
      <c r="C18" s="603"/>
      <c r="D18" s="603"/>
      <c r="E18" s="836"/>
      <c r="F18" s="837"/>
      <c r="G18" s="838"/>
      <c r="H18" s="603"/>
      <c r="I18" s="606" t="e">
        <f>IF(C2=Settings!X3,Calculations!G184,-1)</f>
        <v>#N/A</v>
      </c>
      <c r="J18" s="603"/>
      <c r="K18" s="836"/>
      <c r="L18" s="837"/>
      <c r="M18" s="838"/>
      <c r="N18" s="603"/>
      <c r="O18" s="207">
        <f>IF(C2=Settings!X3,INDEX(Calculations!C151:C157,MATCH(C3,Calculations!B151:B157,0)),IF(C2=Settings!X4,INDEX(Calculations!D151:D157,MATCH(C3,Calculations!B151:B157,0)),IF(C2=Settings!X5,INDEX(Calculations!E151:E157,MATCH(C3,Calculations!B151:B157,0)),IF(C2=Settings!X6,INDEX(Calculations!F151:F157,MATCH(C3,Calculations!B151:B157,0)),0))))</f>
        <v>0</v>
      </c>
      <c r="P18" s="603"/>
      <c r="Q18" s="836"/>
      <c r="R18" s="837"/>
      <c r="S18" s="837"/>
      <c r="T18" s="837"/>
      <c r="U18" s="837"/>
      <c r="V18" s="837"/>
      <c r="W18" s="837"/>
      <c r="X18" s="837"/>
      <c r="Y18" s="837"/>
      <c r="Z18" s="837"/>
      <c r="AA18" s="837"/>
      <c r="AB18" s="838"/>
      <c r="AC18" s="332"/>
      <c r="AD18" s="607">
        <v>1</v>
      </c>
      <c r="AE18" s="608" t="s">
        <v>206</v>
      </c>
      <c r="AF18" s="693"/>
    </row>
    <row r="19" spans="1:33" ht="15.75" customHeight="1" x14ac:dyDescent="0.2">
      <c r="A19" s="332"/>
      <c r="B19" s="332"/>
      <c r="C19" s="332"/>
      <c r="D19" s="603"/>
      <c r="E19" s="836"/>
      <c r="F19" s="837"/>
      <c r="G19" s="838"/>
      <c r="H19" s="603"/>
      <c r="I19" s="593"/>
      <c r="J19" s="603"/>
      <c r="K19" s="836"/>
      <c r="L19" s="837"/>
      <c r="M19" s="838"/>
      <c r="N19" s="603"/>
      <c r="O19" s="606" t="e">
        <f>IF(C2=Settings!X3,Calculations!G151,-1)</f>
        <v>#N/A</v>
      </c>
      <c r="P19" s="603"/>
      <c r="Q19" s="839"/>
      <c r="R19" s="840"/>
      <c r="S19" s="840"/>
      <c r="T19" s="840"/>
      <c r="U19" s="840"/>
      <c r="V19" s="840"/>
      <c r="W19" s="840"/>
      <c r="X19" s="840"/>
      <c r="Y19" s="840"/>
      <c r="Z19" s="840"/>
      <c r="AA19" s="840"/>
      <c r="AB19" s="841"/>
      <c r="AC19" s="332"/>
      <c r="AD19" s="332"/>
      <c r="AE19" s="332"/>
      <c r="AF19" s="18"/>
    </row>
    <row r="20" spans="1:33" ht="15" x14ac:dyDescent="0.25">
      <c r="A20" s="332"/>
      <c r="B20" s="332"/>
      <c r="C20" s="332"/>
      <c r="D20" s="332"/>
      <c r="E20" s="836"/>
      <c r="F20" s="837"/>
      <c r="G20" s="838"/>
      <c r="H20" s="603"/>
      <c r="I20" s="593"/>
      <c r="J20" s="603"/>
      <c r="K20" s="836"/>
      <c r="L20" s="837"/>
      <c r="M20" s="838"/>
      <c r="N20" s="603"/>
      <c r="O20" s="603"/>
      <c r="P20" s="603"/>
      <c r="Q20" s="332"/>
      <c r="R20" s="332"/>
      <c r="S20" s="332"/>
      <c r="T20" s="332"/>
      <c r="U20" s="332"/>
      <c r="V20" s="332"/>
      <c r="W20" s="332"/>
      <c r="X20" s="332"/>
      <c r="Y20" s="332"/>
      <c r="Z20" s="332"/>
      <c r="AA20" s="332"/>
      <c r="AB20" s="332"/>
      <c r="AC20" s="332"/>
      <c r="AD20" s="688" t="s">
        <v>207</v>
      </c>
      <c r="AE20" s="689"/>
      <c r="AF20" s="694"/>
    </row>
    <row r="21" spans="1:33" ht="15.75" customHeight="1" x14ac:dyDescent="0.2">
      <c r="A21" s="332"/>
      <c r="B21" s="603"/>
      <c r="C21" s="332"/>
      <c r="D21" s="332"/>
      <c r="E21" s="836"/>
      <c r="F21" s="837"/>
      <c r="G21" s="838"/>
      <c r="H21" s="603"/>
      <c r="I21" s="604"/>
      <c r="J21" s="603"/>
      <c r="K21" s="836"/>
      <c r="L21" s="837"/>
      <c r="M21" s="838"/>
      <c r="N21" s="603"/>
      <c r="O21" s="603"/>
      <c r="P21" s="603"/>
      <c r="Q21" s="332"/>
      <c r="R21" s="332"/>
      <c r="S21" s="332"/>
      <c r="T21" s="332"/>
      <c r="U21" s="332"/>
      <c r="V21" s="332"/>
      <c r="W21" s="332"/>
      <c r="X21" s="332"/>
      <c r="Y21" s="332"/>
      <c r="Z21" s="332"/>
      <c r="AA21" s="332"/>
      <c r="AB21" s="332"/>
      <c r="AC21" s="332"/>
      <c r="AD21" s="609" t="e">
        <f>IF(C2=Settings!X3,SUM(Calculations!J4:J10),IF(C2=Settings!X4,SUM(Calculations!K4:K10),IF(C2=Settings!X5,SUM(Calculations!L4:L10),IF(C2=Settings!X6,SUM(Calculations!M4:M10),"NA"))))</f>
        <v>#N/A</v>
      </c>
      <c r="AE21" s="610" t="s">
        <v>208</v>
      </c>
      <c r="AF21" s="691"/>
    </row>
    <row r="22" spans="1:33" x14ac:dyDescent="0.2">
      <c r="A22" s="332"/>
      <c r="B22" s="332"/>
      <c r="C22" s="332"/>
      <c r="D22" s="603"/>
      <c r="E22" s="836"/>
      <c r="F22" s="837"/>
      <c r="G22" s="838"/>
      <c r="H22" s="603"/>
      <c r="I22" s="604"/>
      <c r="J22" s="603"/>
      <c r="K22" s="836"/>
      <c r="L22" s="837"/>
      <c r="M22" s="838"/>
      <c r="N22" s="603"/>
      <c r="O22" s="603"/>
      <c r="P22" s="603"/>
      <c r="Q22" s="332"/>
      <c r="R22" s="332"/>
      <c r="S22" s="332"/>
      <c r="T22" s="332"/>
      <c r="U22" s="332"/>
      <c r="V22" s="332"/>
      <c r="W22" s="332"/>
      <c r="X22" s="332"/>
      <c r="Y22" s="332"/>
      <c r="Z22" s="332"/>
      <c r="AA22" s="332"/>
      <c r="AB22" s="332"/>
      <c r="AC22" s="332"/>
      <c r="AD22" s="611" t="e">
        <f>IF(C2=Settings!X3,SUM(Calculations!J13:J19),IF(C2=Settings!X4,SUM(Calculations!K13:K19),IF(C2=Settings!X5,SUM(Calculations!L13:L19),IF(C2=Settings!X6,SUM(Calculations!M13:M19),"NA"))))</f>
        <v>#N/A</v>
      </c>
      <c r="AE22" s="166" t="s">
        <v>209</v>
      </c>
      <c r="AF22" s="695"/>
    </row>
    <row r="23" spans="1:33" x14ac:dyDescent="0.2">
      <c r="A23" s="332"/>
      <c r="B23" s="332"/>
      <c r="C23" s="603"/>
      <c r="D23" s="603"/>
      <c r="E23" s="836"/>
      <c r="F23" s="837"/>
      <c r="G23" s="838"/>
      <c r="H23" s="603"/>
      <c r="I23" s="604"/>
      <c r="J23" s="603"/>
      <c r="K23" s="836"/>
      <c r="L23" s="837"/>
      <c r="M23" s="838"/>
      <c r="N23" s="603"/>
      <c r="O23" s="603"/>
      <c r="P23" s="603"/>
      <c r="Q23" s="332"/>
      <c r="R23" s="332"/>
      <c r="S23" s="332"/>
      <c r="T23" s="332"/>
      <c r="U23" s="332"/>
      <c r="V23" s="332"/>
      <c r="W23" s="332"/>
      <c r="X23" s="332"/>
      <c r="Y23" s="332"/>
      <c r="Z23" s="332"/>
      <c r="AA23" s="332"/>
      <c r="AB23" s="332"/>
      <c r="AC23" s="332"/>
      <c r="AD23" s="612" t="e">
        <f>IF(C2=Settings!X3,SUM(Calculations!J22:J28,Calculations!J31:J37,Calculations!J40:J46,Calculations!J49:J55,Calculations!J58:J64,Calculations!J67:J69),IF(C2=Settings!X4,SUM(Calculations!K22:K28,Calculations!K31:K37,Calculations!K40:K46,Calculations!K49:K55,Calculations!K58:K64,Calculations!K67:K69),IF(C2=Settings!X5,SUM(Calculations!L22:L28,Calculations!L31:L37,Calculations!L40:L46,Calculations!L49:L55,Calculations!L58:L64,Calculations!L67:L69),IF(C2=Settings!X6,SUM(Calculations!M22:M28,Calculations!M31:M37,Calculations!M40:M46,Calculations!M49:M55,Calculations!M58:M64,Calculations!M67:M69),"NA"))))</f>
        <v>#N/A</v>
      </c>
      <c r="AE23" s="195" t="s">
        <v>210</v>
      </c>
      <c r="AF23" s="696"/>
    </row>
    <row r="24" spans="1:33" x14ac:dyDescent="0.2">
      <c r="A24" s="332"/>
      <c r="B24" s="332"/>
      <c r="C24" s="603"/>
      <c r="D24" s="603"/>
      <c r="E24" s="836"/>
      <c r="F24" s="837"/>
      <c r="G24" s="838"/>
      <c r="H24" s="603"/>
      <c r="I24" s="207" t="e">
        <f>IF(C2=Settings!X3,INDEX(Calculations!C192:C198,MATCH(C3,Calculations!B192:B198,0)),IF(C2=Settings!X4,INDEX(Calculations!D192:D198,MATCH(C3,Calculations!B192:B198,0)),IF(C2=Settings!X5,INDEX(Calculations!E192:E198,MATCH(C3,Calculations!B192:B198,0)),IF(C2=Settings!X6,INDEX(Calculations!F192:F198,MATCH(C3,Calculations!B192:B198,0)),0))))</f>
        <v>#N/A</v>
      </c>
      <c r="J24" s="603"/>
      <c r="K24" s="836"/>
      <c r="L24" s="837"/>
      <c r="M24" s="838"/>
      <c r="N24" s="603"/>
      <c r="O24" s="603"/>
      <c r="P24" s="603"/>
      <c r="Q24" s="332"/>
      <c r="R24" s="332"/>
      <c r="S24" s="332"/>
      <c r="T24" s="833" t="s">
        <v>211</v>
      </c>
      <c r="U24" s="834"/>
      <c r="V24" s="835"/>
      <c r="W24" s="332"/>
      <c r="X24" s="332"/>
      <c r="Y24" s="332"/>
      <c r="Z24" s="856" t="s">
        <v>715</v>
      </c>
      <c r="AA24" s="857"/>
      <c r="AB24" s="858"/>
      <c r="AC24" s="332"/>
      <c r="AD24" s="332"/>
      <c r="AE24" s="332"/>
    </row>
    <row r="25" spans="1:33" ht="15.75" customHeight="1" x14ac:dyDescent="0.2">
      <c r="A25" s="332"/>
      <c r="B25" s="332"/>
      <c r="C25" s="603"/>
      <c r="D25" s="603"/>
      <c r="E25" s="836"/>
      <c r="F25" s="837"/>
      <c r="G25" s="838"/>
      <c r="H25" s="603"/>
      <c r="I25" s="606" t="e">
        <f>IF(C2=Settings!X3,Calculations!G192,-1)</f>
        <v>#N/A</v>
      </c>
      <c r="J25" s="603"/>
      <c r="K25" s="836"/>
      <c r="L25" s="837"/>
      <c r="M25" s="838"/>
      <c r="N25" s="603"/>
      <c r="O25" s="603"/>
      <c r="P25" s="603"/>
      <c r="Q25" s="332"/>
      <c r="R25" s="332"/>
      <c r="S25" s="332"/>
      <c r="T25" s="836"/>
      <c r="U25" s="837"/>
      <c r="V25" s="838"/>
      <c r="W25" s="332"/>
      <c r="X25" s="332"/>
      <c r="Y25" s="332"/>
      <c r="Z25" s="859"/>
      <c r="AA25" s="860"/>
      <c r="AB25" s="861"/>
      <c r="AC25" s="332"/>
      <c r="AD25" s="613"/>
      <c r="AE25" s="613"/>
      <c r="AF25" s="853"/>
      <c r="AG25" s="853"/>
    </row>
    <row r="26" spans="1:33" x14ac:dyDescent="0.2">
      <c r="A26" s="332"/>
      <c r="B26" s="332"/>
      <c r="C26" s="207">
        <f>IF(C2=Settings!X3,INDEX(Calculations!C217:C223,MATCH(C3,Calculations!B217:B223,0)),IF(C2=Settings!X4,INDEX(Calculations!D217:D223,MATCH(C3,Calculations!B217:B223,0)),IF(C2=Settings!X5,INDEX(Calculations!E217:E223,MATCH(C3,Calculations!B217:B223,0)),IF(C2=Settings!X6,INDEX(Calculations!F217:F223,MATCH(C3,Calculations!B217:B223,0)),0))))</f>
        <v>0</v>
      </c>
      <c r="D26" s="603"/>
      <c r="E26" s="836"/>
      <c r="F26" s="837"/>
      <c r="G26" s="838"/>
      <c r="H26" s="603"/>
      <c r="I26" s="604"/>
      <c r="J26" s="603"/>
      <c r="K26" s="836"/>
      <c r="L26" s="837"/>
      <c r="M26" s="838"/>
      <c r="N26" s="603"/>
      <c r="O26" s="207" t="e">
        <f>IF(C2=Settings!X3,INDEX(Calculations!C86:C92,MATCH(C3,Calculations!B86:B92,0)),IF(C2=Settings!X4,INDEX(Calculations!D86:D92,MATCH(C3,Calculations!B86:B92,0)),IF(C2=Settings!X5,INDEX(Calculations!E86:E92,MATCH(C3,Calculations!B86:B92,0)),IF(C2=Settings!X6,INDEX(Calculations!F86:F92,MATCH(C3,Calculations!B86:B92,0)),0))))</f>
        <v>#N/A</v>
      </c>
      <c r="P26" s="603"/>
      <c r="Q26" s="332"/>
      <c r="R26" s="332"/>
      <c r="S26" s="332"/>
      <c r="T26" s="836"/>
      <c r="U26" s="837"/>
      <c r="V26" s="838"/>
      <c r="W26" s="332"/>
      <c r="X26" s="596">
        <f>IF(C2=Settings!X3,INDEX(Calculations!C53:C59,MATCH(C3,Calculations!B53:B59,0)),IF(C2=Settings!X4,INDEX(Calculations!D53:D59,MATCH(C3,Calculations!B53:B59,0)),IF(C2=Settings!X5,INDEX(Calculations!E53:E59,MATCH(C3,Calculations!B53:B59,0)),IF(C2=Settings!X6,INDEX(Calculations!F53:F59,MATCH(C3,Calculations!B53:B59,0)),0))))</f>
        <v>0</v>
      </c>
      <c r="Y26" s="332"/>
      <c r="Z26" s="859"/>
      <c r="AA26" s="860"/>
      <c r="AB26" s="861"/>
      <c r="AC26" s="332"/>
      <c r="AD26" s="614"/>
      <c r="AE26" s="615"/>
    </row>
    <row r="27" spans="1:33" x14ac:dyDescent="0.2">
      <c r="A27" s="332"/>
      <c r="B27" s="332"/>
      <c r="C27" s="616" t="e">
        <f>IF(C2=Settings!X3,Calculations!G217,-1)</f>
        <v>#N/A</v>
      </c>
      <c r="D27" s="332"/>
      <c r="E27" s="836"/>
      <c r="F27" s="837"/>
      <c r="G27" s="838"/>
      <c r="H27" s="332"/>
      <c r="I27" s="593"/>
      <c r="J27" s="332"/>
      <c r="K27" s="836"/>
      <c r="L27" s="837"/>
      <c r="M27" s="838"/>
      <c r="N27" s="332"/>
      <c r="O27" s="659" t="e">
        <f>IF(C2=Settings!X3,Calculations!G86,-1)</f>
        <v>#N/A</v>
      </c>
      <c r="P27" s="332"/>
      <c r="Q27" s="332"/>
      <c r="R27" s="332"/>
      <c r="S27" s="332"/>
      <c r="T27" s="836"/>
      <c r="U27" s="837"/>
      <c r="V27" s="838"/>
      <c r="W27" s="332"/>
      <c r="X27" s="659" t="e">
        <f>IF(C2=Settings!X3,Calculations!G53,-1)</f>
        <v>#N/A</v>
      </c>
      <c r="Y27" s="332"/>
      <c r="Z27" s="859"/>
      <c r="AA27" s="860"/>
      <c r="AB27" s="861"/>
      <c r="AC27" s="332"/>
      <c r="AD27" s="617"/>
      <c r="AE27" s="615"/>
    </row>
    <row r="28" spans="1:33" ht="15.75" customHeight="1" x14ac:dyDescent="0.2">
      <c r="A28" s="332"/>
      <c r="B28" s="332"/>
      <c r="C28" s="332"/>
      <c r="D28" s="332"/>
      <c r="E28" s="836"/>
      <c r="F28" s="837"/>
      <c r="G28" s="838"/>
      <c r="H28" s="332"/>
      <c r="I28" s="593"/>
      <c r="J28" s="332"/>
      <c r="K28" s="839"/>
      <c r="L28" s="840"/>
      <c r="M28" s="841"/>
      <c r="N28" s="332"/>
      <c r="O28" s="332"/>
      <c r="P28" s="332"/>
      <c r="Q28" s="332"/>
      <c r="R28" s="332"/>
      <c r="S28" s="332"/>
      <c r="T28" s="836"/>
      <c r="U28" s="837"/>
      <c r="V28" s="838"/>
      <c r="W28" s="332"/>
      <c r="X28" s="332"/>
      <c r="Y28" s="332"/>
      <c r="Z28" s="618"/>
      <c r="AA28" s="619"/>
      <c r="AB28" s="620"/>
      <c r="AC28" s="332"/>
      <c r="AD28" s="614"/>
      <c r="AE28" s="615"/>
    </row>
    <row r="29" spans="1:33" ht="15.75" customHeight="1" x14ac:dyDescent="0.2">
      <c r="A29" s="332"/>
      <c r="B29" s="332"/>
      <c r="C29" s="332"/>
      <c r="D29" s="332"/>
      <c r="E29" s="836"/>
      <c r="F29" s="837"/>
      <c r="G29" s="838"/>
      <c r="H29" s="332"/>
      <c r="I29" s="593"/>
      <c r="J29" s="332"/>
      <c r="K29" s="332"/>
      <c r="L29" s="332"/>
      <c r="M29" s="332"/>
      <c r="N29" s="332"/>
      <c r="O29" s="332"/>
      <c r="P29" s="332"/>
      <c r="Q29" s="332"/>
      <c r="R29" s="332"/>
      <c r="S29" s="332"/>
      <c r="T29" s="839"/>
      <c r="U29" s="840"/>
      <c r="V29" s="841"/>
      <c r="W29" s="332"/>
      <c r="X29" s="332"/>
      <c r="Y29" s="332"/>
      <c r="Z29" s="850" t="e">
        <f>IF(C2=Settings!X3,INDEX(Calculations!C69:C75,MATCH(C3,Calculations!B69:B75,0)),IF(C2=Settings!X4,INDEX(Calculations!D69:D75,MATCH(C3,Calculations!B69:B75,0)),IF(C2=Settings!X5,INDEX(Calculations!E69:E75,MATCH(C3,Calculations!B69:B75,0)),IF(C2=Settings!X6,INDEX(Calculations!F69:F75,MATCH(C3,Calculations!B69:B75,0)),0))))</f>
        <v>#N/A</v>
      </c>
      <c r="AA29" s="851"/>
      <c r="AB29" s="852"/>
      <c r="AC29" s="332"/>
      <c r="AD29" s="332"/>
      <c r="AE29" s="332"/>
    </row>
    <row r="30" spans="1:33" x14ac:dyDescent="0.2">
      <c r="A30" s="332"/>
      <c r="B30" s="332"/>
      <c r="C30" s="332"/>
      <c r="D30" s="332"/>
      <c r="E30" s="836"/>
      <c r="F30" s="837"/>
      <c r="G30" s="838"/>
      <c r="H30" s="332"/>
      <c r="I30" s="593"/>
      <c r="J30" s="332"/>
      <c r="K30" s="332"/>
      <c r="L30" s="332"/>
      <c r="M30" s="332"/>
      <c r="N30" s="332"/>
      <c r="O30" s="332"/>
      <c r="P30" s="332"/>
      <c r="Q30" s="332"/>
      <c r="R30" s="332"/>
      <c r="S30" s="332"/>
      <c r="T30" s="332"/>
      <c r="U30" s="332"/>
      <c r="V30" s="332"/>
      <c r="W30" s="332"/>
      <c r="X30" s="332"/>
      <c r="Y30" s="332"/>
      <c r="Z30" s="332"/>
      <c r="AA30" s="332"/>
      <c r="AB30" s="332"/>
      <c r="AC30" s="332"/>
      <c r="AD30" s="332"/>
      <c r="AE30" s="332"/>
    </row>
    <row r="31" spans="1:33" x14ac:dyDescent="0.2">
      <c r="A31" s="332"/>
      <c r="B31" s="332"/>
      <c r="C31" s="332"/>
      <c r="D31" s="332"/>
      <c r="E31" s="836"/>
      <c r="F31" s="837"/>
      <c r="G31" s="838"/>
      <c r="H31" s="332"/>
      <c r="I31" s="593"/>
      <c r="J31" s="332"/>
      <c r="K31" s="332"/>
      <c r="L31" s="332"/>
      <c r="M31" s="332"/>
      <c r="N31" s="332"/>
      <c r="O31" s="332"/>
      <c r="P31" s="332"/>
      <c r="Q31" s="332"/>
      <c r="R31" s="332"/>
      <c r="S31" s="332"/>
      <c r="T31" s="332"/>
      <c r="U31" s="332"/>
      <c r="V31" s="332"/>
      <c r="W31" s="332"/>
      <c r="X31" s="332"/>
      <c r="Y31" s="332"/>
      <c r="Z31" s="332"/>
      <c r="AA31" s="332"/>
      <c r="AB31" s="332"/>
      <c r="AC31" s="332"/>
      <c r="AD31" s="332"/>
      <c r="AE31" s="332"/>
    </row>
    <row r="32" spans="1:33" x14ac:dyDescent="0.2">
      <c r="A32" s="332"/>
      <c r="B32" s="332"/>
      <c r="C32" s="332"/>
      <c r="D32" s="332"/>
      <c r="E32" s="836"/>
      <c r="F32" s="837"/>
      <c r="G32" s="838"/>
      <c r="H32" s="332"/>
      <c r="I32" s="593"/>
      <c r="J32" s="845" t="e">
        <f>IF(C2=Settings!X3,INDEX(Calculations!C200:C206,MATCH(C3,Calculations!B200:B206,0)),IF(C2=Settings!X4,INDEX(Calculations!D200:D206,MATCH(C3,Calculations!B200:B206,0)),IF(C2=Settings!X5,INDEX(Calculations!E200:E206,MATCH(C3,Calculations!B200:B206,0)),IF(C2=Settings!X6,INDEX(Calculations!F200:F206,MATCH(C3,Calculations!B200:B206,0)),0))))</f>
        <v>#N/A</v>
      </c>
      <c r="K32" s="845"/>
      <c r="L32" s="332"/>
      <c r="M32" s="845" t="e">
        <f>IF(C2=Settings!X3,INDEX(Calculations!C208:C214,MATCH(C3,Calculations!B208:B214,0)),IF(C2=Settings!X4,INDEX(Calculations!D208:D214,MATCH(C3,Calculations!B208:B214,0)),IF(C2=Settings!X5,INDEX(Calculations!E208:E214,MATCH(C3,Calculations!B208:B214,0)),IF(C2=Settings!X6,INDEX(Calculations!F208:F214,MATCH(C3,Calculations!B208:B214,0)),0))))</f>
        <v>#N/A</v>
      </c>
      <c r="N32" s="846"/>
      <c r="O32" s="831" t="e">
        <f>IF(C2=Settings!X3,INDEX(Calculations!C175:C181,MATCH(C3,Calculations!B175:B181,0)),IF(C2=Settings!X4,INDEX(Calculations!D175:D181,MATCH(C3,Calculations!B175:B181,0)),IF(C2=Settings!X5,INDEX(Calculations!E175:E181,MATCH(C3,Calculations!B175:B181,0)),IF(C2=Settings!X6,INDEX(Calculations!F175:F181,MATCH(C3,Calculations!B175:B181,0)),0))))</f>
        <v>#N/A</v>
      </c>
      <c r="P32" s="847"/>
      <c r="Q32" s="332"/>
      <c r="R32" s="332"/>
      <c r="S32" s="621" t="e">
        <f>IF(C2=Settings!X3,INDEX(Calculations!C159:C165,MATCH(C3,Calculations!B159:B165,0)),IF(C2=Settings!X4,INDEX(Calculations!D159:D165,MATCH(C3,Calculations!B159:B165,0)),IF(C2=Settings!X5,INDEX(Calculations!E159:E165,MATCH(C3,Calculations!B159:B165,0)),IF(C2=Settings!X6,INDEX(Calculations!F159:F165,MATCH(C3,Calculations!B159:B165,0)),0))))</f>
        <v>#N/A</v>
      </c>
      <c r="T32" s="332"/>
      <c r="U32" s="332"/>
      <c r="V32" s="854" t="e">
        <f>IF(C2=Settings!X3,INDEX(Calculations!C94:C100,MATCH(C3,Calculations!B94:B100,0)),IF(C2=Settings!X4,INDEX(Calculations!D94:D100,MATCH(C3,Calculations!B94:B100,0)),IF(C2=Settings!X5,INDEX(Calculations!E94:E100,MATCH(C3,Calculations!B94:B100,0)),IF(C2=Settings!X6,INDEX(Calculations!F94:F100,MATCH(C3,Calculations!B94:B100,0)),0))))</f>
        <v>#N/A</v>
      </c>
      <c r="W32" s="854"/>
      <c r="X32" s="343"/>
      <c r="Y32" s="831" t="e">
        <f>IF(C2=Settings!X3,INDEX(Calculations!C61:C67,MATCH(C3,Calculations!B61:B67,0)),IF(C2=Settings!X4,INDEX(Calculations!D61:D67,MATCH(C3,Calculations!B61:B67,0)),IF(C2=Settings!X5,INDEX(Calculations!E61:E67,MATCH(C3,Calculations!B61:B67,0)),IF(C2=Settings!X6,INDEX(Calculations!F61:F67,MATCH(C3,Calculations!B61:B67,0)),0))))</f>
        <v>#N/A</v>
      </c>
      <c r="Z32" s="847"/>
      <c r="AA32" s="332"/>
      <c r="AB32" s="332"/>
      <c r="AC32" s="332"/>
      <c r="AD32" s="332"/>
      <c r="AE32" s="622"/>
    </row>
    <row r="33" spans="1:33" x14ac:dyDescent="0.2">
      <c r="A33" s="332"/>
      <c r="B33" s="332"/>
      <c r="C33" s="332"/>
      <c r="D33" s="332"/>
      <c r="E33" s="836"/>
      <c r="F33" s="837"/>
      <c r="G33" s="838"/>
      <c r="H33" s="332"/>
      <c r="I33" s="593"/>
      <c r="J33" s="843">
        <f>IF(C2=Settings!X3,Calculations!G200,-1)</f>
        <v>0.66</v>
      </c>
      <c r="K33" s="843"/>
      <c r="L33" s="332"/>
      <c r="M33" s="843">
        <f>IF(C2=Settings!X3,Calculations!G208,-1)</f>
        <v>0.33</v>
      </c>
      <c r="N33" s="843"/>
      <c r="O33" s="842">
        <f>IF(C2=Settings!X3,Calculations!G175,-1)</f>
        <v>0.33</v>
      </c>
      <c r="P33" s="842"/>
      <c r="Q33" s="332"/>
      <c r="R33" s="332"/>
      <c r="S33" s="623">
        <f>IF(C2=Settings!X3,Calculations!G159,-1)</f>
        <v>0.33</v>
      </c>
      <c r="T33" s="332"/>
      <c r="U33" s="332"/>
      <c r="V33" s="624">
        <f>IF(C2=Settings!X3,Calculations!G94,-1)</f>
        <v>0.66</v>
      </c>
      <c r="W33" s="624"/>
      <c r="X33" s="624"/>
      <c r="Y33" s="844">
        <f>IF(C2=Settings!X3,Calculations!G61,-1)</f>
        <v>1</v>
      </c>
      <c r="Z33" s="844"/>
      <c r="AA33" s="332"/>
      <c r="AB33" s="332"/>
      <c r="AC33" s="332"/>
      <c r="AD33" s="332"/>
      <c r="AE33" s="622"/>
      <c r="AG33" s="19"/>
    </row>
    <row r="34" spans="1:33" x14ac:dyDescent="0.2">
      <c r="A34" s="332"/>
      <c r="B34" s="332"/>
      <c r="C34" s="332"/>
      <c r="D34" s="332"/>
      <c r="E34" s="836"/>
      <c r="F34" s="837"/>
      <c r="G34" s="838"/>
      <c r="H34" s="332"/>
      <c r="I34" s="593"/>
      <c r="J34" s="332"/>
      <c r="K34" s="332"/>
      <c r="L34" s="332"/>
      <c r="M34" s="332"/>
      <c r="N34" s="332"/>
      <c r="O34" s="332"/>
      <c r="P34" s="332"/>
      <c r="Q34" s="332"/>
      <c r="R34" s="332"/>
      <c r="S34" s="332"/>
      <c r="T34" s="332"/>
      <c r="U34" s="332"/>
      <c r="V34" s="332"/>
      <c r="W34" s="332"/>
      <c r="X34" s="332"/>
      <c r="Y34" s="332"/>
      <c r="Z34" s="332"/>
      <c r="AA34" s="332"/>
      <c r="AB34" s="332"/>
      <c r="AC34" s="332"/>
      <c r="AD34" s="332"/>
      <c r="AE34" s="622"/>
      <c r="AG34" s="19"/>
    </row>
    <row r="35" spans="1:33" x14ac:dyDescent="0.2">
      <c r="A35" s="332"/>
      <c r="B35" s="332"/>
      <c r="C35" s="332"/>
      <c r="D35" s="332"/>
      <c r="E35" s="836"/>
      <c r="F35" s="837"/>
      <c r="G35" s="838"/>
      <c r="H35" s="332"/>
      <c r="I35" s="593"/>
      <c r="J35" s="332"/>
      <c r="K35" s="863" t="s">
        <v>234</v>
      </c>
      <c r="L35" s="864"/>
      <c r="M35" s="864"/>
      <c r="N35" s="864"/>
      <c r="O35" s="864"/>
      <c r="P35" s="864"/>
      <c r="Q35" s="864"/>
      <c r="R35" s="864"/>
      <c r="S35" s="864"/>
      <c r="T35" s="864"/>
      <c r="U35" s="864"/>
      <c r="V35" s="864"/>
      <c r="W35" s="864"/>
      <c r="X35" s="864"/>
      <c r="Y35" s="864"/>
      <c r="Z35" s="864"/>
      <c r="AA35" s="864"/>
      <c r="AB35" s="865"/>
      <c r="AC35" s="332"/>
      <c r="AD35" s="332"/>
      <c r="AE35" s="332"/>
    </row>
    <row r="36" spans="1:33" x14ac:dyDescent="0.2">
      <c r="A36" s="332"/>
      <c r="B36" s="332"/>
      <c r="C36" s="332"/>
      <c r="D36" s="332"/>
      <c r="E36" s="836"/>
      <c r="F36" s="837"/>
      <c r="G36" s="838"/>
      <c r="H36" s="332"/>
      <c r="I36" s="593"/>
      <c r="J36" s="332"/>
      <c r="K36" s="866"/>
      <c r="L36" s="867"/>
      <c r="M36" s="867"/>
      <c r="N36" s="867"/>
      <c r="O36" s="867"/>
      <c r="P36" s="867"/>
      <c r="Q36" s="867"/>
      <c r="R36" s="867"/>
      <c r="S36" s="867"/>
      <c r="T36" s="867"/>
      <c r="U36" s="867"/>
      <c r="V36" s="867"/>
      <c r="W36" s="867"/>
      <c r="X36" s="867"/>
      <c r="Y36" s="867"/>
      <c r="Z36" s="867"/>
      <c r="AA36" s="867"/>
      <c r="AB36" s="868"/>
      <c r="AC36" s="332"/>
      <c r="AD36" s="332"/>
      <c r="AE36" s="332"/>
    </row>
    <row r="37" spans="1:33" x14ac:dyDescent="0.2">
      <c r="A37" s="332"/>
      <c r="B37" s="332"/>
      <c r="C37" s="332"/>
      <c r="D37" s="332"/>
      <c r="E37" s="836"/>
      <c r="F37" s="837"/>
      <c r="G37" s="838"/>
      <c r="H37" s="332"/>
      <c r="I37" s="596" t="e">
        <f>IF(C2=Settings!X3,INDEX(Calculations!C226:C232,MATCH(C3,Calculations!B226:B232,0)),IF(C2=Settings!X4,INDEX(Calculations!D226:D232,MATCH(C3,Calculations!B226:B232,0)),IF(C2=Settings!X5,INDEX(Calculations!E226:E232,MATCH(C3,Calculations!B226:B232,0)),IF(C2=Settings!X6,INDEX(Calculations!F226:F232,MATCH(C3,Calculations!B226:B232,0)),0))))</f>
        <v>#N/A</v>
      </c>
      <c r="J37" s="332"/>
      <c r="K37" s="866"/>
      <c r="L37" s="867"/>
      <c r="M37" s="867"/>
      <c r="N37" s="867"/>
      <c r="O37" s="867"/>
      <c r="P37" s="867"/>
      <c r="Q37" s="867"/>
      <c r="R37" s="867"/>
      <c r="S37" s="867"/>
      <c r="T37" s="867"/>
      <c r="U37" s="867"/>
      <c r="V37" s="867"/>
      <c r="W37" s="867"/>
      <c r="X37" s="867"/>
      <c r="Y37" s="867"/>
      <c r="Z37" s="867"/>
      <c r="AA37" s="867"/>
      <c r="AB37" s="868"/>
      <c r="AC37" s="332"/>
      <c r="AD37" s="332"/>
      <c r="AE37" s="332"/>
    </row>
    <row r="38" spans="1:33" x14ac:dyDescent="0.2">
      <c r="A38" s="332"/>
      <c r="B38" s="332"/>
      <c r="C38" s="332"/>
      <c r="D38" s="332"/>
      <c r="E38" s="836"/>
      <c r="F38" s="837"/>
      <c r="G38" s="838"/>
      <c r="H38" s="332"/>
      <c r="I38" s="599" t="e">
        <f>IF(C2=Settings!X3,Calculations!G226,-1)</f>
        <v>#N/A</v>
      </c>
      <c r="J38" s="332"/>
      <c r="K38" s="866"/>
      <c r="L38" s="867"/>
      <c r="M38" s="867"/>
      <c r="N38" s="867"/>
      <c r="O38" s="867"/>
      <c r="P38" s="867"/>
      <c r="Q38" s="867"/>
      <c r="R38" s="867"/>
      <c r="S38" s="867"/>
      <c r="T38" s="867"/>
      <c r="U38" s="867"/>
      <c r="V38" s="867"/>
      <c r="W38" s="867"/>
      <c r="X38" s="867"/>
      <c r="Y38" s="867"/>
      <c r="Z38" s="867"/>
      <c r="AA38" s="867"/>
      <c r="AB38" s="868"/>
      <c r="AC38" s="332"/>
      <c r="AD38" s="332"/>
      <c r="AE38" s="332"/>
    </row>
    <row r="39" spans="1:33" ht="15.75" customHeight="1" x14ac:dyDescent="0.2">
      <c r="A39" s="332"/>
      <c r="B39" s="332"/>
      <c r="C39" s="332"/>
      <c r="D39" s="332"/>
      <c r="E39" s="839"/>
      <c r="F39" s="840"/>
      <c r="G39" s="841"/>
      <c r="H39" s="332"/>
      <c r="I39" s="593"/>
      <c r="J39" s="332"/>
      <c r="K39" s="625"/>
      <c r="L39" s="626"/>
      <c r="M39" s="626"/>
      <c r="N39" s="626"/>
      <c r="O39" s="626"/>
      <c r="P39" s="626"/>
      <c r="Q39" s="627" t="s">
        <v>212</v>
      </c>
      <c r="R39" s="626"/>
      <c r="S39" s="628" t="str">
        <f>IFERROR(IF(C3=Settings!Y4,"NA",IF(C2=Settings!X3,INDEX(Calculations!C226:C232,MATCH(C3,Calculations!B226:B232,0)),IF(C2=Settings!X4,INDEX(Calculations!D226:D232,MATCH(C3,Calculations!B226:B232,0)),IF(C2=Settings!X5,INDEX(Calculations!E226:E232,MATCH(C3,Calculations!B226:B232,0)),IF(C2=Settings!X6,INDEX(Calculations!F226:F232,MATCH(C3,Calculations!B226:B232,0)),0)))))-IF(AND(C2=Settings!X3,C3=Settings!Y9),Calculations!C227,IF(AND(C2=Settings!X4,C3=Settings!Y9),Calculations!D227,IF(AND(C2=Settings!X5,C3=Settings!Y9),Calculations!E227,IF(AND(C2=Settings!X6,C3=Settings!Y9),Calculations!F227,0)))),"NA")</f>
        <v>NA</v>
      </c>
      <c r="T39" s="626"/>
      <c r="U39" s="626"/>
      <c r="V39" s="626"/>
      <c r="W39" s="626"/>
      <c r="X39" s="626"/>
      <c r="Y39" s="626"/>
      <c r="Z39" s="626"/>
      <c r="AA39" s="626"/>
      <c r="AB39" s="629"/>
      <c r="AC39" s="332"/>
      <c r="AD39" s="332"/>
      <c r="AE39" s="332"/>
    </row>
    <row r="40" spans="1:33" x14ac:dyDescent="0.2">
      <c r="A40" s="332"/>
      <c r="B40" s="332"/>
      <c r="C40" s="332"/>
      <c r="D40" s="332"/>
      <c r="E40" s="332"/>
      <c r="F40" s="332"/>
      <c r="G40" s="332"/>
      <c r="H40" s="332"/>
      <c r="I40" s="593"/>
      <c r="J40" s="332"/>
      <c r="K40" s="332"/>
      <c r="L40" s="332"/>
      <c r="M40" s="332"/>
      <c r="N40" s="332"/>
      <c r="O40" s="831" t="e">
        <f>IF(AND(C2=Settings!X3,OR(C3=Settings!Y4,C3=Settings!Y9)),Calculations!C269,IF(AND(C2=Settings!X4,OR(C3=Settings!Y4,C3=Settings!Y9)),Calculations!D269,IF(AND(C2=Settings!X5,OR(C3=Settings!Y4,C3=Settings!Y9)),Calculations!E269,IF(AND(C2=Settings!X6,OR(C3=Settings!Y4,C3=Settings!Y9)),Calculations!F269,"NA"))))</f>
        <v>#N/A</v>
      </c>
      <c r="P40" s="847"/>
      <c r="Q40" s="332"/>
      <c r="R40" s="332"/>
      <c r="S40" s="332"/>
      <c r="T40" s="332"/>
      <c r="U40" s="332"/>
      <c r="V40" s="854" t="e">
        <f>IF(AND(C2=Settings!X3,OR(C3=Settings!Y4,C3=Settings!Y9)),Calculations!C279,IF(AND(C2=Settings!X4,OR(C3=Settings!Y4,C3=Settings!Y9)),Calculations!D279,IF(AND(C2=Settings!X5,OR(C3=Settings!Y4,C3=Settings!Y9)),Calculations!E279,IF(AND(C2=Settings!X6,OR(C3=Settings!Y4,C3=Settings!Y9)),Calculations!F279,"NA"))))</f>
        <v>#N/A</v>
      </c>
      <c r="W40" s="862"/>
      <c r="X40" s="332"/>
      <c r="Y40" s="332"/>
      <c r="Z40" s="332"/>
      <c r="AA40" s="854" t="e">
        <f>IF(AND(C2=Settings!X3,OR(C3=Settings!Y4,C3=Settings!Y9)),Calculations!C276,IF(AND(C2=Settings!X4,OR(C3=Settings!Y4,C3=Settings!Y9)),Calculations!D276,IF(AND(C2=Settings!X5,OR(C3=Settings!Y4,C3=Settings!Y9)),Calculations!E276,IF(AND(C2=Settings!X6,OR(C3=Settings!Y4,C3=Settings!Y9)),Calculations!F276,"NA"))))</f>
        <v>#N/A</v>
      </c>
      <c r="AB40" s="854"/>
      <c r="AC40" s="854"/>
      <c r="AD40" s="332"/>
      <c r="AE40" s="332"/>
    </row>
    <row r="41" spans="1:33" ht="15.75" customHeight="1" x14ac:dyDescent="0.2">
      <c r="A41" s="332"/>
      <c r="B41" s="332"/>
      <c r="C41" s="332"/>
      <c r="D41" s="332"/>
      <c r="E41" s="332"/>
      <c r="F41" s="332"/>
      <c r="G41" s="332"/>
      <c r="H41" s="332"/>
      <c r="I41" s="593"/>
      <c r="J41" s="332"/>
      <c r="K41" s="332"/>
      <c r="L41" s="332"/>
      <c r="M41" s="332"/>
      <c r="N41" s="332"/>
      <c r="O41" s="880" t="e">
        <f>IF(AND(C2=Settings!X3,C3=Settings!Y4),Calculations!G269,-1)</f>
        <v>#N/A</v>
      </c>
      <c r="P41" s="847"/>
      <c r="Q41" s="332"/>
      <c r="R41" s="332"/>
      <c r="S41" s="332"/>
      <c r="T41" s="332"/>
      <c r="U41" s="332"/>
      <c r="V41" s="862">
        <f>IF(AND(C2=Settings!X3,C3=Settings!Y4),Calculations!G279,-1)</f>
        <v>0</v>
      </c>
      <c r="W41" s="862"/>
      <c r="X41" s="332"/>
      <c r="Y41" s="332"/>
      <c r="Z41" s="332"/>
      <c r="AA41" s="862">
        <f>IF(AND(C2=Settings!X3,C3=Settings!Y4),Calculations!G276,-1)</f>
        <v>0</v>
      </c>
      <c r="AB41" s="862"/>
      <c r="AC41" s="862"/>
      <c r="AD41" s="332"/>
      <c r="AE41" s="332"/>
    </row>
    <row r="42" spans="1:33" ht="12.75" customHeight="1" x14ac:dyDescent="0.2">
      <c r="A42" s="332"/>
      <c r="B42" s="332"/>
      <c r="C42" s="332"/>
      <c r="D42" s="332"/>
      <c r="E42" s="332"/>
      <c r="F42" s="332"/>
      <c r="G42" s="332"/>
      <c r="H42" s="332"/>
      <c r="I42" s="593"/>
      <c r="J42" s="332"/>
      <c r="K42" s="332"/>
      <c r="L42" s="332"/>
      <c r="M42" s="332"/>
      <c r="N42" s="332"/>
      <c r="O42" s="332"/>
      <c r="P42" s="863" t="s">
        <v>213</v>
      </c>
      <c r="Q42" s="865"/>
      <c r="R42" s="332"/>
      <c r="S42" s="332"/>
      <c r="T42" s="871" t="s">
        <v>214</v>
      </c>
      <c r="U42" s="872"/>
      <c r="V42" s="873"/>
      <c r="W42" s="332"/>
      <c r="X42" s="332"/>
      <c r="Y42" s="332"/>
      <c r="Z42" s="332"/>
      <c r="AA42" s="332"/>
      <c r="AB42" s="332"/>
      <c r="AC42" s="332"/>
      <c r="AD42" s="332"/>
      <c r="AE42" s="332"/>
    </row>
    <row r="43" spans="1:33" x14ac:dyDescent="0.2">
      <c r="A43" s="332"/>
      <c r="B43" s="332"/>
      <c r="C43" s="332"/>
      <c r="D43" s="332"/>
      <c r="E43" s="332"/>
      <c r="F43" s="332"/>
      <c r="G43" s="332"/>
      <c r="H43" s="332"/>
      <c r="I43" s="831" t="e">
        <f>IF(AND(C2=Settings!X3,OR(C3=Settings!Y4,C3=Settings!Y9)),Calculations!C262+Calculations!C244+Calculations!C238,IF(AND(C2=Settings!X4,OR(C3=Settings!Y4,C3=Settings!Y9)),Calculations!D262+Calculations!D244+Calculations!D238,IF(AND(C2=Settings!X5,OR(C3=Settings!Y4,C3=Settings!Y9)),Calculations!E262+Calculations!E244+Calculations!E238,IF(AND(C2=Settings!X6,OR(C3=Settings!Y4,C3=Settings!Y9)),Calculations!F262+Calculations!F244+Calculations!F238,"NA"))))</f>
        <v>#N/A</v>
      </c>
      <c r="J43" s="831"/>
      <c r="K43" s="831"/>
      <c r="L43" s="332"/>
      <c r="M43" s="332"/>
      <c r="N43" s="332"/>
      <c r="O43" s="332"/>
      <c r="P43" s="866"/>
      <c r="Q43" s="868"/>
      <c r="R43" s="332"/>
      <c r="S43" s="332"/>
      <c r="T43" s="874"/>
      <c r="U43" s="875"/>
      <c r="V43" s="876"/>
      <c r="W43" s="332"/>
      <c r="X43" s="332"/>
      <c r="Y43" s="332"/>
      <c r="Z43" s="332"/>
      <c r="AA43" s="332"/>
      <c r="AB43" s="332"/>
      <c r="AC43" s="332"/>
      <c r="AD43" s="332"/>
      <c r="AE43" s="332"/>
    </row>
    <row r="44" spans="1:33" x14ac:dyDescent="0.2">
      <c r="A44" s="332"/>
      <c r="B44" s="630"/>
      <c r="C44" s="332"/>
      <c r="D44" s="332"/>
      <c r="E44" s="332"/>
      <c r="F44" s="332"/>
      <c r="G44" s="332"/>
      <c r="H44" s="332"/>
      <c r="I44" s="593"/>
      <c r="J44" s="880" t="e">
        <f>IF(AND(C2=Settings!X3,C3=Settings!Y4),Calculations!G273,-1)</f>
        <v>#N/A</v>
      </c>
      <c r="K44" s="880"/>
      <c r="L44" s="332"/>
      <c r="M44" s="332"/>
      <c r="N44" s="332"/>
      <c r="O44" s="332"/>
      <c r="P44" s="866"/>
      <c r="Q44" s="868"/>
      <c r="R44" s="332"/>
      <c r="S44" s="332"/>
      <c r="T44" s="874"/>
      <c r="U44" s="875"/>
      <c r="V44" s="876"/>
      <c r="W44" s="332"/>
      <c r="X44" s="332"/>
      <c r="Y44" s="332"/>
      <c r="Z44" s="332"/>
      <c r="AA44" s="332"/>
      <c r="AB44" s="332"/>
      <c r="AC44" s="332"/>
      <c r="AD44" s="332"/>
      <c r="AE44" s="332"/>
    </row>
    <row r="45" spans="1:33" x14ac:dyDescent="0.2">
      <c r="A45" s="332"/>
      <c r="B45" s="332"/>
      <c r="C45" s="332"/>
      <c r="D45" s="332"/>
      <c r="E45" s="332"/>
      <c r="F45" s="332"/>
      <c r="G45" s="332"/>
      <c r="H45" s="332"/>
      <c r="I45" s="593"/>
      <c r="J45" s="332"/>
      <c r="K45" s="332"/>
      <c r="L45" s="332"/>
      <c r="M45" s="332"/>
      <c r="N45" s="332"/>
      <c r="O45" s="332"/>
      <c r="P45" s="869" t="e">
        <f>IF(AND(C2=Settings!X3,OR(C3=Settings!Y4,C3=Settings!Y9)),Calculations!C278,IF(AND(C2=Settings!X4,OR(C3=Settings!Y4,C3=Settings!Y9)),Calculations!D278,IF(AND(C2=Settings!X5,OR(C3=Settings!Y4,C3=Settings!Y9)),Calculations!E278,IF(AND(C2=Settings!X6,OR(C3=Settings!Y4,C3=Settings!Y9)),Calculations!F278,"NA"))))</f>
        <v>#N/A</v>
      </c>
      <c r="Q45" s="870"/>
      <c r="R45" s="332"/>
      <c r="S45" s="332"/>
      <c r="T45" s="877" t="e">
        <f>IF(AND(C2=Settings!X3,OR(C3=Settings!Y4,C3=Settings!Y9)),Calculations!C279,IF(AND(C2=Settings!X4,OR(C3=Settings!Y4,C3=Settings!Y9)),Calculations!D279,IF(AND(C2=Settings!X5,OR(C3=Settings!Y4,C3=Settings!Y9)),Calculations!E279,IF(AND(C2=Settings!X6,OR(C3=Settings!Y4,C3=Settings!Y9)),Calculations!F279,"NA"))))</f>
        <v>#N/A</v>
      </c>
      <c r="U45" s="878"/>
      <c r="V45" s="879"/>
      <c r="W45" s="332"/>
      <c r="X45" s="332"/>
      <c r="Y45" s="332"/>
      <c r="Z45" s="332"/>
      <c r="AA45" s="332"/>
      <c r="AB45" s="332"/>
      <c r="AC45" s="332"/>
      <c r="AD45" s="332"/>
      <c r="AE45" s="332"/>
    </row>
    <row r="46" spans="1:33" ht="15.75" customHeight="1" x14ac:dyDescent="0.2">
      <c r="A46" s="332"/>
      <c r="B46" s="332"/>
      <c r="C46" s="332"/>
      <c r="D46" s="332"/>
      <c r="E46" s="332"/>
      <c r="F46" s="332"/>
      <c r="G46" s="332"/>
      <c r="H46" s="332"/>
      <c r="I46" s="593"/>
      <c r="J46" s="332"/>
      <c r="K46" s="332"/>
      <c r="L46" s="332"/>
      <c r="M46" s="332"/>
      <c r="N46" s="332"/>
      <c r="O46" s="831" t="e">
        <f>IF(AND(C2=Settings!X3,OR(C3=Settings!Y4,C3=Settings!Y9)),Calculations!C271,IF(AND(C2=Settings!X4,OR(C3=Settings!Y4,C3=Settings!Y9)),Calculations!D271,IF(AND(C2=Settings!X5,OR(C3=Settings!Y4,C3=Settings!Y9)),Calculations!E271,IF(AND(C2=Settings!X6,OR(C3=Settings!Y4,C3=Settings!Y9)),Calculations!F271,"NA"))))</f>
        <v>#N/A</v>
      </c>
      <c r="P46" s="831"/>
      <c r="Q46" s="332"/>
      <c r="R46" s="332"/>
      <c r="S46" s="332"/>
      <c r="T46" s="332"/>
      <c r="U46" s="332"/>
      <c r="V46" s="332"/>
      <c r="W46" s="332"/>
      <c r="X46" s="332"/>
      <c r="Y46" s="332"/>
      <c r="Z46" s="332"/>
      <c r="AA46" s="332"/>
      <c r="AB46" s="332"/>
      <c r="AC46" s="332"/>
      <c r="AD46" s="332"/>
      <c r="AE46" s="332"/>
    </row>
    <row r="47" spans="1:33" ht="15.75" customHeight="1" x14ac:dyDescent="0.2">
      <c r="A47" s="332"/>
      <c r="B47" s="332"/>
      <c r="C47" s="332"/>
      <c r="D47" s="332"/>
      <c r="E47" s="332"/>
      <c r="F47" s="332"/>
      <c r="G47" s="332"/>
      <c r="H47" s="332"/>
      <c r="I47" s="593"/>
      <c r="J47" s="332"/>
      <c r="K47" s="332"/>
      <c r="L47" s="332"/>
      <c r="M47" s="332"/>
      <c r="N47" s="332"/>
      <c r="O47" s="832" t="e">
        <f>IF(AND(C2=Settings!X3,C3=Settings!Y4),Calculations!G271,-1)</f>
        <v>#N/A</v>
      </c>
      <c r="P47" s="832"/>
      <c r="Q47" s="332"/>
      <c r="R47" s="332"/>
      <c r="S47" s="332"/>
      <c r="T47" s="332"/>
      <c r="U47" s="332"/>
      <c r="V47" s="332"/>
      <c r="W47" s="332"/>
      <c r="X47" s="332"/>
      <c r="Y47" s="332"/>
      <c r="Z47" s="332"/>
      <c r="AA47" s="332"/>
      <c r="AB47" s="332"/>
      <c r="AC47" s="332"/>
      <c r="AD47" s="332"/>
      <c r="AE47" s="332"/>
    </row>
    <row r="48" spans="1:33" x14ac:dyDescent="0.2">
      <c r="A48" s="332"/>
      <c r="B48" s="332"/>
      <c r="C48" s="332"/>
      <c r="D48" s="332"/>
      <c r="E48" s="332"/>
      <c r="F48" s="332"/>
      <c r="G48" s="332"/>
      <c r="H48" s="332"/>
      <c r="I48" s="593"/>
      <c r="J48" s="332"/>
      <c r="K48" s="863" t="s">
        <v>215</v>
      </c>
      <c r="L48" s="864"/>
      <c r="M48" s="864"/>
      <c r="N48" s="864"/>
      <c r="O48" s="864"/>
      <c r="P48" s="864"/>
      <c r="Q48" s="865"/>
      <c r="R48" s="332"/>
      <c r="S48" s="332"/>
      <c r="T48" s="332"/>
      <c r="U48" s="332"/>
      <c r="V48" s="332"/>
      <c r="W48" s="332"/>
      <c r="X48" s="332"/>
      <c r="Y48" s="332"/>
      <c r="Z48" s="332"/>
      <c r="AA48" s="332"/>
      <c r="AB48" s="332"/>
      <c r="AC48" s="332"/>
      <c r="AD48" s="332"/>
      <c r="AE48" s="332"/>
    </row>
    <row r="49" spans="1:38" x14ac:dyDescent="0.2">
      <c r="A49" s="332"/>
      <c r="B49" s="332"/>
      <c r="C49" s="332"/>
      <c r="D49" s="332"/>
      <c r="E49" s="332"/>
      <c r="F49" s="332"/>
      <c r="G49" s="332"/>
      <c r="H49" s="332"/>
      <c r="I49" s="593"/>
      <c r="J49" s="332"/>
      <c r="K49" s="866"/>
      <c r="L49" s="867"/>
      <c r="M49" s="867"/>
      <c r="N49" s="867"/>
      <c r="O49" s="867"/>
      <c r="P49" s="867"/>
      <c r="Q49" s="868"/>
      <c r="R49" s="332"/>
      <c r="S49" s="332"/>
      <c r="T49" s="332"/>
      <c r="U49" s="332"/>
      <c r="V49" s="332"/>
      <c r="W49" s="332"/>
      <c r="X49" s="332"/>
      <c r="Y49" s="332"/>
      <c r="Z49" s="332"/>
      <c r="AA49" s="332"/>
      <c r="AB49" s="332"/>
      <c r="AC49" s="332"/>
      <c r="AD49" s="332"/>
      <c r="AE49" s="332"/>
    </row>
    <row r="50" spans="1:38" x14ac:dyDescent="0.2">
      <c r="A50" s="332"/>
      <c r="B50" s="332"/>
      <c r="C50" s="332"/>
      <c r="D50" s="332"/>
      <c r="E50" s="332"/>
      <c r="F50" s="332"/>
      <c r="G50" s="332"/>
      <c r="H50" s="332"/>
      <c r="I50" s="593"/>
      <c r="J50" s="332"/>
      <c r="K50" s="866"/>
      <c r="L50" s="867"/>
      <c r="M50" s="867"/>
      <c r="N50" s="867"/>
      <c r="O50" s="867"/>
      <c r="P50" s="867"/>
      <c r="Q50" s="868"/>
      <c r="R50" s="332"/>
      <c r="S50" s="332"/>
      <c r="T50" s="332"/>
      <c r="U50" s="332"/>
      <c r="V50" s="332"/>
      <c r="W50" s="332"/>
      <c r="X50" s="332"/>
      <c r="Y50" s="332"/>
      <c r="Z50" s="332"/>
      <c r="AA50" s="332"/>
      <c r="AB50" s="332"/>
      <c r="AC50" s="332"/>
      <c r="AD50" s="332"/>
      <c r="AE50" s="332"/>
    </row>
    <row r="51" spans="1:38" ht="15.75" customHeight="1" x14ac:dyDescent="0.2">
      <c r="A51" s="332"/>
      <c r="B51" s="332"/>
      <c r="C51" s="332"/>
      <c r="D51" s="332"/>
      <c r="E51" s="332"/>
      <c r="F51" s="332"/>
      <c r="G51" s="332"/>
      <c r="H51" s="332"/>
      <c r="I51" s="593"/>
      <c r="J51" s="332"/>
      <c r="K51" s="869" t="e">
        <f>IF(AND(C2=Settings!X3,OR(C3=Settings!Y4,C3=Settings!Y9)),Calculations!C277,IF(AND(C2=Settings!X4,OR(C3=Settings!Y4,C3=Settings!Y9)),Calculations!D277,IF(AND(C2=Settings!X5,OR(C3=Settings!Y4,C3=Settings!Y9)),Calculations!E277,IF(AND(C2=Settings!X6,OR(C3=Settings!Y4,C3=Settings!Y9)),Calculations!F277,"NA"))))</f>
        <v>#N/A</v>
      </c>
      <c r="L51" s="904"/>
      <c r="M51" s="904"/>
      <c r="N51" s="904"/>
      <c r="O51" s="904"/>
      <c r="P51" s="904"/>
      <c r="Q51" s="905"/>
      <c r="R51" s="332"/>
      <c r="S51" s="332"/>
      <c r="T51" s="332"/>
      <c r="U51" s="332"/>
      <c r="V51" s="332"/>
      <c r="W51" s="332"/>
      <c r="X51" s="332"/>
      <c r="Y51" s="332"/>
      <c r="Z51" s="332"/>
      <c r="AA51" s="332"/>
      <c r="AB51" s="332"/>
      <c r="AC51" s="332"/>
      <c r="AD51" s="332"/>
      <c r="AE51" s="332"/>
    </row>
    <row r="52" spans="1:38" x14ac:dyDescent="0.2">
      <c r="A52" s="332"/>
      <c r="B52" s="332"/>
      <c r="C52" s="332"/>
      <c r="D52" s="332"/>
      <c r="E52" s="332"/>
      <c r="F52" s="332"/>
      <c r="G52" s="332"/>
      <c r="H52" s="332"/>
      <c r="I52" s="593"/>
      <c r="J52" s="332"/>
      <c r="K52" s="332"/>
      <c r="L52" s="332"/>
      <c r="M52" s="332"/>
      <c r="N52" s="332"/>
      <c r="O52" s="332"/>
      <c r="P52" s="332"/>
      <c r="Q52" s="332"/>
      <c r="R52" s="332"/>
      <c r="S52" s="332"/>
      <c r="T52" s="332"/>
      <c r="U52" s="332"/>
      <c r="V52" s="332"/>
      <c r="W52" s="332"/>
      <c r="X52" s="332"/>
      <c r="Y52" s="332"/>
      <c r="Z52" s="332"/>
      <c r="AA52" s="332"/>
      <c r="AB52" s="332"/>
      <c r="AC52" s="332"/>
      <c r="AD52" s="332"/>
      <c r="AE52" s="332"/>
    </row>
    <row r="53" spans="1:38" x14ac:dyDescent="0.2">
      <c r="A53" s="332"/>
      <c r="B53" s="332"/>
      <c r="C53" s="332"/>
      <c r="D53" s="332" t="s">
        <v>216</v>
      </c>
      <c r="E53" s="332"/>
      <c r="F53" s="332"/>
      <c r="G53" s="332"/>
      <c r="H53" s="332"/>
      <c r="I53" s="593"/>
      <c r="J53" s="332"/>
      <c r="K53" s="332"/>
      <c r="L53" s="332"/>
      <c r="M53" s="332"/>
      <c r="N53" s="332"/>
      <c r="O53" s="332"/>
      <c r="P53" s="332"/>
      <c r="Q53" s="332"/>
      <c r="R53" s="332"/>
      <c r="S53" s="332"/>
      <c r="T53" s="332"/>
      <c r="U53" s="332"/>
      <c r="V53" s="332"/>
      <c r="W53" s="332"/>
      <c r="X53" s="332"/>
      <c r="Y53" s="332"/>
      <c r="Z53" s="332"/>
      <c r="AA53" s="332"/>
      <c r="AB53" s="332"/>
      <c r="AC53" s="332"/>
      <c r="AD53" s="332"/>
      <c r="AE53" s="332"/>
    </row>
    <row r="54" spans="1:38" x14ac:dyDescent="0.2">
      <c r="A54" s="332"/>
      <c r="B54" s="332"/>
      <c r="C54" s="332"/>
      <c r="D54" s="332"/>
      <c r="E54" s="332"/>
      <c r="F54" s="332"/>
      <c r="G54" s="332"/>
      <c r="H54" s="332"/>
      <c r="I54" s="593"/>
      <c r="J54" s="332"/>
      <c r="K54" s="332"/>
      <c r="L54" s="332"/>
      <c r="M54" s="332"/>
      <c r="N54" s="332"/>
      <c r="O54" s="332"/>
      <c r="P54" s="332"/>
      <c r="Q54" s="332"/>
      <c r="R54" s="332"/>
      <c r="S54" s="332"/>
      <c r="T54" s="332"/>
      <c r="U54" s="332"/>
      <c r="V54" s="332"/>
      <c r="W54" s="332"/>
      <c r="X54" s="332"/>
      <c r="Y54" s="332"/>
      <c r="Z54" s="332"/>
      <c r="AA54" s="332"/>
      <c r="AB54" s="332"/>
      <c r="AC54" s="332"/>
      <c r="AD54" s="332"/>
      <c r="AE54" s="332"/>
    </row>
    <row r="55" spans="1:38" x14ac:dyDescent="0.2">
      <c r="A55" s="332"/>
      <c r="B55" s="332"/>
      <c r="C55" s="332"/>
      <c r="D55" s="332"/>
      <c r="E55" s="332"/>
      <c r="F55" s="332"/>
      <c r="G55" s="332"/>
      <c r="H55" s="332"/>
      <c r="I55" s="593"/>
      <c r="J55" s="332"/>
      <c r="K55" s="332"/>
      <c r="L55" s="332"/>
      <c r="M55" s="332"/>
      <c r="N55" s="332"/>
      <c r="O55" s="332"/>
      <c r="P55" s="332"/>
      <c r="Q55" s="332"/>
      <c r="R55" s="332"/>
      <c r="S55" s="332"/>
      <c r="T55" s="332"/>
      <c r="U55" s="332"/>
      <c r="V55" s="332"/>
      <c r="W55" s="332"/>
      <c r="X55" s="332"/>
      <c r="Y55" s="332"/>
      <c r="Z55" s="332"/>
      <c r="AA55" s="332"/>
      <c r="AB55" s="332"/>
      <c r="AC55" s="332"/>
      <c r="AD55" s="332"/>
      <c r="AE55" s="332"/>
    </row>
    <row r="56" spans="1:38" x14ac:dyDescent="0.2">
      <c r="A56" s="332"/>
      <c r="B56" s="332"/>
      <c r="C56" s="332"/>
      <c r="D56" s="332"/>
      <c r="E56" s="332"/>
      <c r="F56" s="332"/>
      <c r="G56" s="332"/>
      <c r="H56" s="332"/>
      <c r="I56" s="593"/>
      <c r="J56" s="332"/>
      <c r="K56" s="332"/>
      <c r="L56" s="332"/>
      <c r="M56" s="332"/>
      <c r="N56" s="332"/>
      <c r="O56" s="332"/>
      <c r="P56" s="332"/>
      <c r="Q56" s="332"/>
      <c r="R56" s="332"/>
      <c r="S56" s="332"/>
      <c r="T56" s="332"/>
      <c r="U56" s="332"/>
      <c r="V56" s="332"/>
      <c r="W56" s="332"/>
      <c r="X56" s="332"/>
      <c r="Y56" s="332"/>
      <c r="Z56" s="332"/>
      <c r="AA56" s="332"/>
      <c r="AB56" s="332"/>
      <c r="AC56" s="332"/>
      <c r="AD56" s="332"/>
      <c r="AE56" s="332"/>
    </row>
    <row r="57" spans="1:38" x14ac:dyDescent="0.2">
      <c r="A57" s="332"/>
      <c r="B57" s="332"/>
      <c r="C57" s="332"/>
      <c r="D57" s="332"/>
      <c r="E57" s="332"/>
      <c r="F57" s="332"/>
      <c r="G57" s="332"/>
      <c r="H57" s="332"/>
      <c r="I57" s="593"/>
      <c r="J57" s="332"/>
      <c r="K57" s="332"/>
      <c r="L57" s="332"/>
      <c r="M57" s="332"/>
      <c r="N57" s="332"/>
      <c r="O57" s="332"/>
      <c r="P57" s="332"/>
      <c r="Q57" s="332"/>
      <c r="R57" s="332"/>
      <c r="S57" s="332"/>
      <c r="T57" s="332"/>
      <c r="U57" s="332"/>
      <c r="V57" s="332"/>
      <c r="W57" s="332"/>
      <c r="X57" s="332"/>
      <c r="Y57" s="332"/>
      <c r="Z57" s="332"/>
      <c r="AA57" s="332"/>
      <c r="AB57" s="332"/>
      <c r="AC57" s="332"/>
      <c r="AD57" s="332"/>
      <c r="AE57" s="332"/>
    </row>
    <row r="58" spans="1:38" ht="21" customHeight="1" x14ac:dyDescent="0.2">
      <c r="A58" s="332"/>
      <c r="B58" s="332"/>
      <c r="C58" s="332"/>
      <c r="D58" s="332"/>
      <c r="E58" s="631"/>
      <c r="F58" s="631"/>
      <c r="G58" s="631"/>
      <c r="H58" s="631"/>
      <c r="I58" s="631"/>
      <c r="J58" s="631"/>
      <c r="K58" s="631"/>
      <c r="L58" s="631"/>
      <c r="M58" s="332"/>
      <c r="N58" s="332"/>
      <c r="O58" s="332"/>
      <c r="P58" s="332"/>
      <c r="Q58" s="332"/>
      <c r="R58" s="332"/>
      <c r="S58" s="332"/>
      <c r="T58" s="332"/>
      <c r="U58" s="332"/>
      <c r="V58" s="332"/>
      <c r="W58" s="332"/>
      <c r="X58" s="332"/>
      <c r="Y58" s="332"/>
      <c r="Z58" s="332"/>
      <c r="AA58" s="332"/>
      <c r="AB58" s="332"/>
      <c r="AC58" s="332"/>
      <c r="AD58" s="332"/>
      <c r="AE58" s="332"/>
    </row>
    <row r="59" spans="1:38" ht="23.25" x14ac:dyDescent="0.35">
      <c r="A59" s="595" t="s">
        <v>217</v>
      </c>
      <c r="B59" s="595" t="s">
        <v>218</v>
      </c>
      <c r="C59" s="332"/>
      <c r="D59" s="332"/>
      <c r="E59" s="332"/>
      <c r="F59" s="332"/>
      <c r="G59" s="332"/>
      <c r="H59" s="332"/>
      <c r="I59" s="593"/>
      <c r="J59" s="332"/>
      <c r="K59" s="332"/>
      <c r="L59" s="332"/>
      <c r="M59" s="332"/>
      <c r="N59" s="332"/>
      <c r="O59" s="332"/>
      <c r="P59" s="332"/>
      <c r="Q59" s="332"/>
      <c r="R59" s="332"/>
      <c r="S59" s="332"/>
      <c r="T59" s="332"/>
      <c r="U59" s="332"/>
      <c r="V59" s="332"/>
      <c r="W59" s="332"/>
      <c r="X59" s="332"/>
      <c r="Y59" s="332"/>
      <c r="Z59" s="332"/>
      <c r="AA59" s="332"/>
      <c r="AB59" s="332"/>
      <c r="AC59" s="332"/>
      <c r="AD59" s="332"/>
      <c r="AE59" s="332"/>
    </row>
    <row r="60" spans="1:38" ht="39.75" customHeight="1" x14ac:dyDescent="0.35">
      <c r="A60" s="332"/>
      <c r="B60" s="332"/>
      <c r="C60" s="332"/>
      <c r="D60" s="332"/>
      <c r="E60" s="888" t="s">
        <v>219</v>
      </c>
      <c r="F60" s="888"/>
      <c r="G60" s="888"/>
      <c r="H60" s="888"/>
      <c r="I60" s="888"/>
      <c r="J60" s="888"/>
      <c r="K60" s="888"/>
      <c r="L60" s="888"/>
      <c r="M60" s="888"/>
      <c r="N60" s="888"/>
      <c r="O60" s="332"/>
      <c r="P60" s="888" t="s">
        <v>220</v>
      </c>
      <c r="Q60" s="888"/>
      <c r="R60" s="888"/>
      <c r="S60" s="888"/>
      <c r="T60" s="888"/>
      <c r="U60" s="888"/>
      <c r="V60" s="888"/>
      <c r="W60" s="632"/>
      <c r="X60" s="898" t="s">
        <v>221</v>
      </c>
      <c r="Y60" s="898"/>
      <c r="Z60" s="898"/>
      <c r="AA60" s="898"/>
      <c r="AB60" s="898"/>
      <c r="AC60" s="898"/>
      <c r="AD60" s="898"/>
      <c r="AE60" s="633"/>
      <c r="AF60" s="898" t="s">
        <v>730</v>
      </c>
      <c r="AG60" s="898"/>
      <c r="AH60" s="898"/>
      <c r="AI60" s="898"/>
      <c r="AJ60" s="697"/>
      <c r="AK60" s="697"/>
      <c r="AL60" s="697"/>
    </row>
    <row r="61" spans="1:38" ht="15.75" customHeight="1" x14ac:dyDescent="0.25">
      <c r="A61" s="332"/>
      <c r="B61" s="332"/>
      <c r="C61" s="332"/>
      <c r="D61" s="635"/>
      <c r="E61" s="889" t="e">
        <f>"MSW Generation ["&amp;TEXT($C$26,"####")&amp;"] . #8F8F8F"&amp;CHAR(10)&amp;
". ["&amp;TEXT($Y$8+$Z$29+$R$8,"####")&amp;"] Formal collection #A0B5DB"&amp;CHAR(10)&amp;
". ["&amp;TEXT($V$8,"####")&amp;"] Informal collection #DAE8FC"&amp;CHAR(10)&amp;
". ["&amp;TEXT($I$37+$J$32+$M$32+$O$32+$S$32+$V$32+$Y$32,"###")&amp;"] Unmanaged #F8CECC"&amp;CHAR(10)&amp;
IF($C$3=Settings!$Y$4,
"Unmanaged ["&amp;TEXT($T$45,"###")&amp;"] Land #FFE6CC"&amp;CHAR(10)&amp;"Unmanaged ["&amp;TEXT($K$51,"###")&amp;"] Water #BF6663"&amp;CHAR(10)&amp;"Unmanaged ["&amp;TEXT($P$45,"###")&amp;"] Drains #A0B8DB"&amp;CHAR(10)&amp;"Unmanaged ["&amp;TEXT($AA$40,"###")&amp;"] Burnt #E9BF60",
"Unmanaged ["&amp;TEXT($I$37+$J$32+$M$32+$O$32+$S$32+$V$32+$Y$32,"###")&amp;"] Environment #BF6663")&amp;CHAR(10)&amp;
"Formal collection ["&amp;TEXT($R$8,"###")&amp;"] Sorting for recovery #ABCD9C"&amp;CHAR(10)&amp;
"Formal collection ["&amp;TEXT($Z$29,"###")&amp;"] Disposal #D9BC66"&amp;CHAR(10)&amp;
"Informal collection ["&amp;TEXT($V$8,"###")&amp;"] Sorting for recovery #ABCD9C"&amp;CHAR(10)&amp;
"Formal collection ["&amp;TEXT($Y$8,"###")&amp;"] Energy from Waste #E9BF60"</f>
        <v>#N/A</v>
      </c>
      <c r="F61" s="890"/>
      <c r="G61" s="890"/>
      <c r="H61" s="890"/>
      <c r="I61" s="890"/>
      <c r="J61" s="890"/>
      <c r="K61" s="890"/>
      <c r="L61" s="890"/>
      <c r="M61" s="890"/>
      <c r="N61" s="891"/>
      <c r="O61" s="332"/>
      <c r="P61" s="889" t="e">
        <f>"Generation ["&amp;TEXT($C$26,"###0")&amp;"] MSW Generation #8F8F8F"&amp;CHAR(10)&amp;
"MSW Generation ["&amp;TEXT($I$17,"###0")&amp;"] Collected by service providers #A0B5DB"&amp;CHAR(10)&amp;
"MSW Generation ["&amp;TEXT($I$24,"###0")&amp;"] Informal value chain collection #DAE8FC"&amp;CHAR(10)&amp;
"MSW Generation ["&amp;TEXT($I$37,"###0")&amp;"] Uncollected #F8CECC"&amp;CHAR(10)&amp;
"Uncollected ["&amp;TEXT($I$37,"###0")&amp;"] Unmanaged #F8CECC"&amp;CHAR(10)&amp;
"Collected by service providers ["&amp;TEXT($R$8+$O$32+$Y$8,"###0")&amp;"] Sorting by formal sector #D5E8D4"&amp;CHAR(10)&amp;
"Collected by service providers ["&amp;TEXT($O$15-$R$8-$O$32-$Y$8,"###0")&amp;"] Sorting by informal sector #DAE8FC"&amp;CHAR(10)&amp;
"Collected by service providers ["&amp;TEXT($J$32+$V$32,"###0")&amp;"] Unmanaged #BF6663"&amp;CHAR(10)&amp;
"Collected by service providers ["&amp;TEXT($X$26,"###0")&amp;"] Disposal #D9BC66"&amp;CHAR(10)&amp;
"Informal value chain collection ["&amp;TEXT($O$18,"###0")&amp;"] Sorting by informal sector #DAE8FC"&amp;CHAR(10)&amp;
"Informal value chain collection ["&amp;TEXT($M$32,"###0")&amp;"] Unmanaged #BF6663"&amp;CHAR(10)&amp;
"Sorting by formal sector ["&amp;TEXT($O$32,"###0")&amp;"] Unmanaged #BF6663"&amp;CHAR(10)&amp;
"Sorting by formal sector ["&amp;TEXT($Y$8,"###0")&amp;"] Energy from Waste #E9BF60"&amp;CHAR(10)&amp;
"Sorting by formal sector ["&amp;TEXT($R$8,"###0")&amp;"] Sorted for recovery #ABCD9C"&amp;CHAR(10)&amp;
"Sorting by informal sector ["&amp;TEXT($V$8,"###0")&amp;"] Sorted for recovery #ABCD9C"&amp;CHAR(10)&amp;
"Sorting by informal sector ["&amp;TEXT($S$32,"###0")&amp;"] Unmanaged #BF6663"&amp;CHAR(10)&amp;
"Disposal ["&amp;TEXT($Y$32,"###0")&amp;"] Unmanaged #BF6663"&amp;CHAR(10)&amp;
"Disposal ["&amp;TEXT($Z$29,"###0")&amp;"] Retained at disposal site #D9BC66"&amp;CHAR(10)&amp;
IF($C$3=Settings!$Y$4,
"Unmanaged ["&amp;TEXT($T$45,"###")&amp;"] Land #FFE6CC"&amp;CHAR(10)&amp;
"Unmanaged ["&amp;TEXT($K$51,"###")&amp;"] Water #BF6663"&amp;CHAR(10)&amp;
"Unmanaged ["&amp;TEXT($AA$40,"###")&amp;"] Burnt #E9BF60"&amp;CHAR(10)&amp;
"Unmanaged ["&amp;TEXT($P$45,"###")&amp;"] Drains #A0B8DB","")</f>
        <v>#N/A</v>
      </c>
      <c r="Q61" s="890"/>
      <c r="R61" s="890"/>
      <c r="S61" s="890"/>
      <c r="T61" s="890"/>
      <c r="U61" s="890"/>
      <c r="V61" s="891"/>
      <c r="W61" s="344"/>
      <c r="X61" s="917" t="s">
        <v>222</v>
      </c>
      <c r="Y61" s="918"/>
      <c r="Z61" s="918"/>
      <c r="AA61" s="918"/>
      <c r="AB61" s="918"/>
      <c r="AC61" s="918"/>
      <c r="AD61" s="919"/>
      <c r="AE61" s="633"/>
      <c r="AF61" s="698" t="s">
        <v>695</v>
      </c>
      <c r="AG61" s="699" t="s">
        <v>693</v>
      </c>
      <c r="AH61" s="698" t="s">
        <v>697</v>
      </c>
      <c r="AI61" s="700" t="s">
        <v>694</v>
      </c>
    </row>
    <row r="62" spans="1:38" ht="15.75" x14ac:dyDescent="0.25">
      <c r="A62" s="332"/>
      <c r="B62" s="332"/>
      <c r="C62" s="332"/>
      <c r="D62" s="635"/>
      <c r="E62" s="892"/>
      <c r="F62" s="893"/>
      <c r="G62" s="893"/>
      <c r="H62" s="893"/>
      <c r="I62" s="893"/>
      <c r="J62" s="893"/>
      <c r="K62" s="893"/>
      <c r="L62" s="893"/>
      <c r="M62" s="893"/>
      <c r="N62" s="894"/>
      <c r="O62" s="332"/>
      <c r="P62" s="892"/>
      <c r="Q62" s="893"/>
      <c r="R62" s="893"/>
      <c r="S62" s="893"/>
      <c r="T62" s="893"/>
      <c r="U62" s="893"/>
      <c r="V62" s="894"/>
      <c r="W62" s="344"/>
      <c r="X62" s="885"/>
      <c r="Y62" s="886"/>
      <c r="Z62" s="886"/>
      <c r="AA62" s="886"/>
      <c r="AB62" s="886"/>
      <c r="AC62" s="886"/>
      <c r="AD62" s="887"/>
      <c r="AE62" s="633"/>
      <c r="AF62" s="912" t="s">
        <v>696</v>
      </c>
      <c r="AG62" s="701" t="s">
        <v>199</v>
      </c>
      <c r="AH62" s="702">
        <f>C26</f>
        <v>0</v>
      </c>
      <c r="AI62" s="703">
        <v>1</v>
      </c>
    </row>
    <row r="63" spans="1:38" ht="15.6" customHeight="1" x14ac:dyDescent="0.25">
      <c r="A63" s="332"/>
      <c r="B63" s="332"/>
      <c r="C63" s="332"/>
      <c r="D63" s="635"/>
      <c r="E63" s="892"/>
      <c r="F63" s="893"/>
      <c r="G63" s="893"/>
      <c r="H63" s="893"/>
      <c r="I63" s="893"/>
      <c r="J63" s="893"/>
      <c r="K63" s="893"/>
      <c r="L63" s="893"/>
      <c r="M63" s="893"/>
      <c r="N63" s="894"/>
      <c r="O63" s="332"/>
      <c r="P63" s="892"/>
      <c r="Q63" s="893"/>
      <c r="R63" s="893"/>
      <c r="S63" s="893"/>
      <c r="T63" s="893"/>
      <c r="U63" s="893"/>
      <c r="V63" s="894"/>
      <c r="W63" s="344"/>
      <c r="X63" s="885" t="s">
        <v>223</v>
      </c>
      <c r="Y63" s="886"/>
      <c r="Z63" s="886"/>
      <c r="AA63" s="886"/>
      <c r="AB63" s="886"/>
      <c r="AC63" s="886"/>
      <c r="AD63" s="887"/>
      <c r="AE63" s="633"/>
      <c r="AF63" s="912"/>
      <c r="AG63" s="701" t="s">
        <v>268</v>
      </c>
      <c r="AH63" s="702" t="e">
        <f>$Y$8+$Z$29+$R$8</f>
        <v>#N/A</v>
      </c>
      <c r="AI63" s="720" t="e">
        <f>AH63/$AH$62</f>
        <v>#N/A</v>
      </c>
    </row>
    <row r="64" spans="1:38" ht="15.75" customHeight="1" x14ac:dyDescent="0.25">
      <c r="A64" s="332"/>
      <c r="B64" s="332"/>
      <c r="C64" s="332"/>
      <c r="D64" s="635"/>
      <c r="E64" s="892"/>
      <c r="F64" s="893"/>
      <c r="G64" s="893"/>
      <c r="H64" s="893"/>
      <c r="I64" s="893"/>
      <c r="J64" s="893"/>
      <c r="K64" s="893"/>
      <c r="L64" s="893"/>
      <c r="M64" s="893"/>
      <c r="N64" s="894"/>
      <c r="O64" s="332"/>
      <c r="P64" s="892"/>
      <c r="Q64" s="893"/>
      <c r="R64" s="893"/>
      <c r="S64" s="893"/>
      <c r="T64" s="893"/>
      <c r="U64" s="893"/>
      <c r="V64" s="894"/>
      <c r="W64" s="344"/>
      <c r="X64" s="885"/>
      <c r="Y64" s="886"/>
      <c r="Z64" s="886"/>
      <c r="AA64" s="886"/>
      <c r="AB64" s="886"/>
      <c r="AC64" s="886"/>
      <c r="AD64" s="887"/>
      <c r="AE64" s="633"/>
      <c r="AF64" s="912"/>
      <c r="AG64" s="701" t="s">
        <v>236</v>
      </c>
      <c r="AH64" s="702">
        <f>V8</f>
        <v>0</v>
      </c>
      <c r="AI64" s="720" t="e">
        <f>AH64/$AH$62</f>
        <v>#DIV/0!</v>
      </c>
    </row>
    <row r="65" spans="1:35" ht="15.75" x14ac:dyDescent="0.25">
      <c r="A65" s="332"/>
      <c r="B65" s="332"/>
      <c r="C65" s="332"/>
      <c r="D65" s="635"/>
      <c r="E65" s="892"/>
      <c r="F65" s="893"/>
      <c r="G65" s="893"/>
      <c r="H65" s="893"/>
      <c r="I65" s="893"/>
      <c r="J65" s="893"/>
      <c r="K65" s="893"/>
      <c r="L65" s="893"/>
      <c r="M65" s="893"/>
      <c r="N65" s="894"/>
      <c r="O65" s="332"/>
      <c r="P65" s="892"/>
      <c r="Q65" s="893"/>
      <c r="R65" s="893"/>
      <c r="S65" s="893"/>
      <c r="T65" s="893"/>
      <c r="U65" s="893"/>
      <c r="V65" s="894"/>
      <c r="W65" s="344"/>
      <c r="X65" s="885" t="s">
        <v>224</v>
      </c>
      <c r="Y65" s="886"/>
      <c r="Z65" s="886"/>
      <c r="AA65" s="886"/>
      <c r="AB65" s="886"/>
      <c r="AC65" s="886"/>
      <c r="AD65" s="887"/>
      <c r="AE65" s="633"/>
      <c r="AF65" s="912"/>
      <c r="AG65" s="701" t="s">
        <v>301</v>
      </c>
      <c r="AH65" s="702" t="e">
        <f>$I$37+$J$32+$M$32+$O$32+$S$32+$V$32+$Y$32</f>
        <v>#N/A</v>
      </c>
      <c r="AI65" s="720" t="e">
        <f>AH65/$AH$62</f>
        <v>#N/A</v>
      </c>
    </row>
    <row r="66" spans="1:35" ht="15.75" customHeight="1" x14ac:dyDescent="0.25">
      <c r="A66" s="332"/>
      <c r="B66" s="332"/>
      <c r="C66" s="332"/>
      <c r="D66" s="332"/>
      <c r="E66" s="892"/>
      <c r="F66" s="893"/>
      <c r="G66" s="893"/>
      <c r="H66" s="893"/>
      <c r="I66" s="893"/>
      <c r="J66" s="893"/>
      <c r="K66" s="893"/>
      <c r="L66" s="893"/>
      <c r="M66" s="893"/>
      <c r="N66" s="894"/>
      <c r="O66" s="332"/>
      <c r="P66" s="892"/>
      <c r="Q66" s="893"/>
      <c r="R66" s="893"/>
      <c r="S66" s="893"/>
      <c r="T66" s="893"/>
      <c r="U66" s="893"/>
      <c r="V66" s="894"/>
      <c r="W66" s="344"/>
      <c r="X66" s="634" t="s">
        <v>225</v>
      </c>
      <c r="Y66" s="899" t="s">
        <v>226</v>
      </c>
      <c r="Z66" s="899"/>
      <c r="AA66" s="899"/>
      <c r="AB66" s="899"/>
      <c r="AC66" s="899"/>
      <c r="AD66" s="900"/>
      <c r="AE66" s="633"/>
      <c r="AF66" s="912"/>
      <c r="AG66" s="701" t="s">
        <v>698</v>
      </c>
      <c r="AH66" s="702" t="e">
        <f>Z29</f>
        <v>#N/A</v>
      </c>
      <c r="AI66" s="720" t="e">
        <f>AH66/$AH$62</f>
        <v>#N/A</v>
      </c>
    </row>
    <row r="67" spans="1:35" ht="15.75" customHeight="1" x14ac:dyDescent="0.25">
      <c r="A67" s="332"/>
      <c r="B67" s="332"/>
      <c r="C67" s="332"/>
      <c r="D67" s="332"/>
      <c r="E67" s="892"/>
      <c r="F67" s="893"/>
      <c r="G67" s="893"/>
      <c r="H67" s="893"/>
      <c r="I67" s="893"/>
      <c r="J67" s="893"/>
      <c r="K67" s="893"/>
      <c r="L67" s="893"/>
      <c r="M67" s="893"/>
      <c r="N67" s="894"/>
      <c r="O67" s="332"/>
      <c r="P67" s="892"/>
      <c r="Q67" s="893"/>
      <c r="R67" s="893"/>
      <c r="S67" s="893"/>
      <c r="T67" s="893"/>
      <c r="U67" s="893"/>
      <c r="V67" s="894"/>
      <c r="W67" s="344"/>
      <c r="X67" s="901" t="s">
        <v>227</v>
      </c>
      <c r="Y67" s="902"/>
      <c r="Z67" s="902"/>
      <c r="AA67" s="902"/>
      <c r="AB67" s="902"/>
      <c r="AC67" s="902"/>
      <c r="AD67" s="903"/>
      <c r="AE67" s="633"/>
      <c r="AF67" s="912"/>
      <c r="AG67" s="701" t="s">
        <v>151</v>
      </c>
      <c r="AH67" s="702">
        <f>Y8</f>
        <v>0</v>
      </c>
      <c r="AI67" s="720" t="e">
        <f t="shared" ref="AI67:AI69" si="0">AH67/$AH$62</f>
        <v>#DIV/0!</v>
      </c>
    </row>
    <row r="68" spans="1:35" ht="15.75" customHeight="1" x14ac:dyDescent="0.25">
      <c r="A68" s="332"/>
      <c r="B68" s="332"/>
      <c r="C68" s="332"/>
      <c r="D68" s="332"/>
      <c r="E68" s="892"/>
      <c r="F68" s="893"/>
      <c r="G68" s="893"/>
      <c r="H68" s="893"/>
      <c r="I68" s="893"/>
      <c r="J68" s="893"/>
      <c r="K68" s="893"/>
      <c r="L68" s="893"/>
      <c r="M68" s="893"/>
      <c r="N68" s="894"/>
      <c r="O68" s="332"/>
      <c r="P68" s="892"/>
      <c r="Q68" s="893"/>
      <c r="R68" s="893"/>
      <c r="S68" s="893"/>
      <c r="T68" s="893"/>
      <c r="U68" s="893"/>
      <c r="V68" s="894"/>
      <c r="W68" s="344"/>
      <c r="X68" s="885" t="s">
        <v>228</v>
      </c>
      <c r="Y68" s="886"/>
      <c r="Z68" s="886"/>
      <c r="AA68" s="886"/>
      <c r="AB68" s="886"/>
      <c r="AC68" s="886"/>
      <c r="AD68" s="887"/>
      <c r="AE68" s="633"/>
      <c r="AF68" s="912"/>
      <c r="AG68" s="701" t="s">
        <v>699</v>
      </c>
      <c r="AH68" s="702">
        <f>R8+V8</f>
        <v>0</v>
      </c>
      <c r="AI68" s="720" t="e">
        <f t="shared" si="0"/>
        <v>#DIV/0!</v>
      </c>
    </row>
    <row r="69" spans="1:35" ht="15.75" customHeight="1" x14ac:dyDescent="0.25">
      <c r="A69" s="332"/>
      <c r="B69" s="332"/>
      <c r="C69" s="332"/>
      <c r="D69" s="332"/>
      <c r="E69" s="892"/>
      <c r="F69" s="893"/>
      <c r="G69" s="893"/>
      <c r="H69" s="893"/>
      <c r="I69" s="893"/>
      <c r="J69" s="893"/>
      <c r="K69" s="893"/>
      <c r="L69" s="893"/>
      <c r="M69" s="893"/>
      <c r="N69" s="894"/>
      <c r="O69" s="332"/>
      <c r="P69" s="892"/>
      <c r="Q69" s="893"/>
      <c r="R69" s="893"/>
      <c r="S69" s="893"/>
      <c r="T69" s="893"/>
      <c r="U69" s="893"/>
      <c r="V69" s="894"/>
      <c r="W69" s="344"/>
      <c r="X69" s="885"/>
      <c r="Y69" s="886"/>
      <c r="Z69" s="886"/>
      <c r="AA69" s="886"/>
      <c r="AB69" s="886"/>
      <c r="AC69" s="886"/>
      <c r="AD69" s="887"/>
      <c r="AE69" s="633"/>
      <c r="AF69" s="912"/>
      <c r="AG69" s="701" t="s">
        <v>196</v>
      </c>
      <c r="AH69" s="702" t="e">
        <f>I37+J32+M32+O32+S32+V32+Y32</f>
        <v>#N/A</v>
      </c>
      <c r="AI69" s="720" t="e">
        <f t="shared" si="0"/>
        <v>#N/A</v>
      </c>
    </row>
    <row r="70" spans="1:35" ht="15.75" x14ac:dyDescent="0.25">
      <c r="A70" s="332"/>
      <c r="B70" s="332"/>
      <c r="C70" s="332"/>
      <c r="D70" s="332"/>
      <c r="E70" s="892"/>
      <c r="F70" s="893"/>
      <c r="G70" s="893"/>
      <c r="H70" s="893"/>
      <c r="I70" s="893"/>
      <c r="J70" s="893"/>
      <c r="K70" s="893"/>
      <c r="L70" s="893"/>
      <c r="M70" s="893"/>
      <c r="N70" s="894"/>
      <c r="O70" s="332"/>
      <c r="P70" s="892"/>
      <c r="Q70" s="893"/>
      <c r="R70" s="893"/>
      <c r="S70" s="893"/>
      <c r="T70" s="893"/>
      <c r="U70" s="893"/>
      <c r="V70" s="894"/>
      <c r="W70" s="344"/>
      <c r="X70" s="885"/>
      <c r="Y70" s="886"/>
      <c r="Z70" s="886"/>
      <c r="AA70" s="886"/>
      <c r="AB70" s="886"/>
      <c r="AC70" s="886"/>
      <c r="AD70" s="887"/>
      <c r="AE70" s="633"/>
      <c r="AF70" s="912"/>
      <c r="AG70" s="701" t="s">
        <v>186</v>
      </c>
      <c r="AH70" s="702" t="e">
        <f>T45</f>
        <v>#N/A</v>
      </c>
      <c r="AI70" s="720" t="str">
        <f>IFERROR(AH70/$AH$62,"NA")</f>
        <v>NA</v>
      </c>
    </row>
    <row r="71" spans="1:35" ht="15.75" customHeight="1" x14ac:dyDescent="0.25">
      <c r="A71" s="332"/>
      <c r="B71" s="332"/>
      <c r="C71" s="332"/>
      <c r="D71" s="332"/>
      <c r="E71" s="892"/>
      <c r="F71" s="893"/>
      <c r="G71" s="893"/>
      <c r="H71" s="893"/>
      <c r="I71" s="893"/>
      <c r="J71" s="893"/>
      <c r="K71" s="893"/>
      <c r="L71" s="893"/>
      <c r="M71" s="893"/>
      <c r="N71" s="894"/>
      <c r="O71" s="332"/>
      <c r="P71" s="892"/>
      <c r="Q71" s="893"/>
      <c r="R71" s="893"/>
      <c r="S71" s="893"/>
      <c r="T71" s="893"/>
      <c r="U71" s="893"/>
      <c r="V71" s="894"/>
      <c r="W71" s="344"/>
      <c r="X71" s="882" t="s">
        <v>229</v>
      </c>
      <c r="Y71" s="883"/>
      <c r="Z71" s="883"/>
      <c r="AA71" s="883"/>
      <c r="AB71" s="883"/>
      <c r="AC71" s="883"/>
      <c r="AD71" s="884"/>
      <c r="AE71" s="633"/>
      <c r="AF71" s="912"/>
      <c r="AG71" s="701" t="s">
        <v>145</v>
      </c>
      <c r="AH71" s="702" t="e">
        <f>K51</f>
        <v>#N/A</v>
      </c>
      <c r="AI71" s="720" t="str">
        <f t="shared" ref="AI71:AI73" si="1">IFERROR(AH71/$AH$62,"NA")</f>
        <v>NA</v>
      </c>
    </row>
    <row r="72" spans="1:35" ht="15.75" customHeight="1" x14ac:dyDescent="0.25">
      <c r="A72" s="332"/>
      <c r="B72" s="332"/>
      <c r="C72" s="332"/>
      <c r="D72" s="332"/>
      <c r="E72" s="892"/>
      <c r="F72" s="893"/>
      <c r="G72" s="893"/>
      <c r="H72" s="893"/>
      <c r="I72" s="893"/>
      <c r="J72" s="893"/>
      <c r="K72" s="893"/>
      <c r="L72" s="893"/>
      <c r="M72" s="893"/>
      <c r="N72" s="894"/>
      <c r="O72" s="332"/>
      <c r="P72" s="892"/>
      <c r="Q72" s="893"/>
      <c r="R72" s="893"/>
      <c r="S72" s="893"/>
      <c r="T72" s="893"/>
      <c r="U72" s="893"/>
      <c r="V72" s="894"/>
      <c r="W72" s="344"/>
      <c r="X72" s="885" t="s">
        <v>230</v>
      </c>
      <c r="Y72" s="886"/>
      <c r="Z72" s="886"/>
      <c r="AA72" s="886"/>
      <c r="AB72" s="886"/>
      <c r="AC72" s="886"/>
      <c r="AD72" s="887"/>
      <c r="AE72" s="633"/>
      <c r="AF72" s="912"/>
      <c r="AG72" s="701" t="s">
        <v>169</v>
      </c>
      <c r="AH72" s="702" t="e">
        <f>AA40</f>
        <v>#N/A</v>
      </c>
      <c r="AI72" s="720" t="str">
        <f t="shared" si="1"/>
        <v>NA</v>
      </c>
    </row>
    <row r="73" spans="1:35" ht="15.75" x14ac:dyDescent="0.25">
      <c r="A73" s="332"/>
      <c r="B73" s="332"/>
      <c r="C73" s="332"/>
      <c r="D73" s="332"/>
      <c r="E73" s="895"/>
      <c r="F73" s="896"/>
      <c r="G73" s="896"/>
      <c r="H73" s="896"/>
      <c r="I73" s="896"/>
      <c r="J73" s="896"/>
      <c r="K73" s="896"/>
      <c r="L73" s="896"/>
      <c r="M73" s="896"/>
      <c r="N73" s="897"/>
      <c r="O73" s="332"/>
      <c r="P73" s="892"/>
      <c r="Q73" s="893"/>
      <c r="R73" s="893"/>
      <c r="S73" s="893"/>
      <c r="T73" s="893"/>
      <c r="U73" s="893"/>
      <c r="V73" s="894"/>
      <c r="W73" s="344"/>
      <c r="X73" s="885"/>
      <c r="Y73" s="886"/>
      <c r="Z73" s="886"/>
      <c r="AA73" s="886"/>
      <c r="AB73" s="886"/>
      <c r="AC73" s="886"/>
      <c r="AD73" s="887"/>
      <c r="AE73" s="633"/>
      <c r="AF73" s="912"/>
      <c r="AG73" s="701" t="s">
        <v>144</v>
      </c>
      <c r="AH73" s="702" t="e">
        <f>P45</f>
        <v>#N/A</v>
      </c>
      <c r="AI73" s="720" t="str">
        <f t="shared" si="1"/>
        <v>NA</v>
      </c>
    </row>
    <row r="74" spans="1:35" ht="15.75" customHeight="1" x14ac:dyDescent="0.25">
      <c r="A74" s="332"/>
      <c r="B74" s="332"/>
      <c r="C74" s="332"/>
      <c r="D74" s="332"/>
      <c r="E74" s="344"/>
      <c r="F74" s="344"/>
      <c r="G74" s="344"/>
      <c r="H74" s="344"/>
      <c r="I74" s="344"/>
      <c r="J74" s="344"/>
      <c r="K74" s="344"/>
      <c r="L74" s="344"/>
      <c r="M74" s="344"/>
      <c r="N74" s="344"/>
      <c r="O74" s="332"/>
      <c r="P74" s="892"/>
      <c r="Q74" s="893"/>
      <c r="R74" s="893"/>
      <c r="S74" s="893"/>
      <c r="T74" s="893"/>
      <c r="U74" s="893"/>
      <c r="V74" s="894"/>
      <c r="W74" s="344"/>
      <c r="X74" s="885" t="s">
        <v>231</v>
      </c>
      <c r="Y74" s="886"/>
      <c r="Z74" s="886"/>
      <c r="AA74" s="886"/>
      <c r="AB74" s="886"/>
      <c r="AC74" s="886"/>
      <c r="AD74" s="887"/>
      <c r="AE74" s="633"/>
      <c r="AF74" s="911" t="s">
        <v>705</v>
      </c>
      <c r="AG74" s="704" t="s">
        <v>199</v>
      </c>
      <c r="AH74" s="705">
        <f>C26</f>
        <v>0</v>
      </c>
      <c r="AI74" s="722" t="str">
        <f>IFERROR(AH74/$AH$74,"NA")</f>
        <v>NA</v>
      </c>
    </row>
    <row r="75" spans="1:35" ht="15.75" x14ac:dyDescent="0.25">
      <c r="A75" s="332"/>
      <c r="B75" s="332"/>
      <c r="C75" s="332"/>
      <c r="D75" s="332"/>
      <c r="E75" s="344"/>
      <c r="F75" s="344"/>
      <c r="G75" s="344"/>
      <c r="H75" s="344"/>
      <c r="I75" s="344"/>
      <c r="J75" s="344"/>
      <c r="K75" s="344"/>
      <c r="L75" s="344"/>
      <c r="M75" s="344"/>
      <c r="N75" s="344"/>
      <c r="O75" s="332"/>
      <c r="P75" s="892"/>
      <c r="Q75" s="893"/>
      <c r="R75" s="893"/>
      <c r="S75" s="893"/>
      <c r="T75" s="893"/>
      <c r="U75" s="893"/>
      <c r="V75" s="894"/>
      <c r="W75" s="344"/>
      <c r="X75" s="885"/>
      <c r="Y75" s="886"/>
      <c r="Z75" s="886"/>
      <c r="AA75" s="886"/>
      <c r="AB75" s="886"/>
      <c r="AC75" s="886"/>
      <c r="AD75" s="887"/>
      <c r="AE75" s="633"/>
      <c r="AF75" s="912"/>
      <c r="AG75" s="701" t="s">
        <v>700</v>
      </c>
      <c r="AH75" s="702" t="e">
        <f>I17</f>
        <v>#N/A</v>
      </c>
      <c r="AI75" s="721" t="str">
        <f t="shared" ref="AI75:AI79" si="2">IFERROR(AH75/$AH$74,"NA")</f>
        <v>NA</v>
      </c>
    </row>
    <row r="76" spans="1:35" ht="15.75" x14ac:dyDescent="0.25">
      <c r="A76" s="332"/>
      <c r="B76" s="332"/>
      <c r="C76" s="332"/>
      <c r="D76" s="332"/>
      <c r="E76" s="344"/>
      <c r="F76" s="344"/>
      <c r="G76" s="344"/>
      <c r="H76" s="344"/>
      <c r="I76" s="344"/>
      <c r="J76" s="344"/>
      <c r="K76" s="344"/>
      <c r="L76" s="344"/>
      <c r="M76" s="344"/>
      <c r="N76" s="344"/>
      <c r="O76" s="332"/>
      <c r="P76" s="892"/>
      <c r="Q76" s="893"/>
      <c r="R76" s="893"/>
      <c r="S76" s="893"/>
      <c r="T76" s="893"/>
      <c r="U76" s="893"/>
      <c r="V76" s="894"/>
      <c r="W76" s="344"/>
      <c r="X76" s="885"/>
      <c r="Y76" s="886"/>
      <c r="Z76" s="886"/>
      <c r="AA76" s="886"/>
      <c r="AB76" s="886"/>
      <c r="AC76" s="886"/>
      <c r="AD76" s="887"/>
      <c r="AE76" s="633"/>
      <c r="AF76" s="912"/>
      <c r="AG76" s="701" t="s">
        <v>701</v>
      </c>
      <c r="AH76" s="702" t="e">
        <f>I24</f>
        <v>#N/A</v>
      </c>
      <c r="AI76" s="721" t="str">
        <f t="shared" si="2"/>
        <v>NA</v>
      </c>
    </row>
    <row r="77" spans="1:35" ht="15.75" customHeight="1" x14ac:dyDescent="0.25">
      <c r="A77" s="332"/>
      <c r="B77" s="332"/>
      <c r="C77" s="332"/>
      <c r="D77" s="332"/>
      <c r="E77" s="344"/>
      <c r="F77" s="344"/>
      <c r="G77" s="344"/>
      <c r="H77" s="344"/>
      <c r="I77" s="344"/>
      <c r="J77" s="344"/>
      <c r="K77" s="344"/>
      <c r="L77" s="344"/>
      <c r="M77" s="344"/>
      <c r="N77" s="344"/>
      <c r="O77" s="344"/>
      <c r="P77" s="892"/>
      <c r="Q77" s="893"/>
      <c r="R77" s="893"/>
      <c r="S77" s="893"/>
      <c r="T77" s="893"/>
      <c r="U77" s="893"/>
      <c r="V77" s="894"/>
      <c r="W77" s="344"/>
      <c r="X77" s="885" t="s">
        <v>662</v>
      </c>
      <c r="Y77" s="886"/>
      <c r="Z77" s="886"/>
      <c r="AA77" s="886"/>
      <c r="AB77" s="886"/>
      <c r="AC77" s="886"/>
      <c r="AD77" s="887"/>
      <c r="AE77" s="332"/>
      <c r="AF77" s="912"/>
      <c r="AG77" s="701" t="s">
        <v>702</v>
      </c>
      <c r="AH77" s="702" t="e">
        <f>I37</f>
        <v>#N/A</v>
      </c>
      <c r="AI77" s="721" t="str">
        <f t="shared" si="2"/>
        <v>NA</v>
      </c>
    </row>
    <row r="78" spans="1:35" ht="15.75" x14ac:dyDescent="0.25">
      <c r="A78" s="332"/>
      <c r="B78" s="332"/>
      <c r="C78" s="332"/>
      <c r="D78" s="332"/>
      <c r="E78" s="344"/>
      <c r="F78" s="344"/>
      <c r="G78" s="344"/>
      <c r="H78" s="344"/>
      <c r="I78" s="344"/>
      <c r="J78" s="344"/>
      <c r="K78" s="344"/>
      <c r="L78" s="344"/>
      <c r="M78" s="344"/>
      <c r="N78" s="344"/>
      <c r="O78" s="344"/>
      <c r="P78" s="892"/>
      <c r="Q78" s="893"/>
      <c r="R78" s="893"/>
      <c r="S78" s="893"/>
      <c r="T78" s="893"/>
      <c r="U78" s="893"/>
      <c r="V78" s="894"/>
      <c r="W78" s="344"/>
      <c r="X78" s="885"/>
      <c r="Y78" s="886"/>
      <c r="Z78" s="886"/>
      <c r="AA78" s="886"/>
      <c r="AB78" s="886"/>
      <c r="AC78" s="886"/>
      <c r="AD78" s="887"/>
      <c r="AE78" s="332"/>
      <c r="AF78" s="912"/>
      <c r="AG78" s="701" t="s">
        <v>287</v>
      </c>
      <c r="AH78" s="702">
        <f>X26</f>
        <v>0</v>
      </c>
      <c r="AI78" s="721" t="str">
        <f t="shared" si="2"/>
        <v>NA</v>
      </c>
    </row>
    <row r="79" spans="1:35" ht="15.75" customHeight="1" x14ac:dyDescent="0.25">
      <c r="A79" s="332"/>
      <c r="B79" s="332"/>
      <c r="C79" s="332"/>
      <c r="D79" s="332"/>
      <c r="E79" s="344"/>
      <c r="F79" s="344"/>
      <c r="G79" s="344"/>
      <c r="H79" s="344"/>
      <c r="I79" s="344"/>
      <c r="J79" s="344"/>
      <c r="K79" s="344"/>
      <c r="L79" s="344"/>
      <c r="M79" s="344"/>
      <c r="N79" s="344"/>
      <c r="O79" s="344"/>
      <c r="P79" s="895"/>
      <c r="Q79" s="896"/>
      <c r="R79" s="896"/>
      <c r="S79" s="896"/>
      <c r="T79" s="896"/>
      <c r="U79" s="896"/>
      <c r="V79" s="897"/>
      <c r="W79" s="344"/>
      <c r="X79" s="885" t="s">
        <v>706</v>
      </c>
      <c r="Y79" s="886"/>
      <c r="Z79" s="886"/>
      <c r="AA79" s="886"/>
      <c r="AB79" s="886"/>
      <c r="AC79" s="886"/>
      <c r="AD79" s="887"/>
      <c r="AE79" s="332"/>
      <c r="AF79" s="912"/>
      <c r="AG79" s="701" t="s">
        <v>703</v>
      </c>
      <c r="AH79" s="702" t="e">
        <f>$R$8+$O$32+$Y$8</f>
        <v>#N/A</v>
      </c>
      <c r="AI79" s="721" t="str">
        <f t="shared" si="2"/>
        <v>NA</v>
      </c>
    </row>
    <row r="80" spans="1:35" ht="15.75" customHeight="1" x14ac:dyDescent="0.25">
      <c r="A80" s="332"/>
      <c r="B80" s="332"/>
      <c r="C80" s="332"/>
      <c r="D80" s="332"/>
      <c r="E80" s="344"/>
      <c r="F80" s="344"/>
      <c r="G80" s="344"/>
      <c r="H80" s="344"/>
      <c r="I80" s="344"/>
      <c r="J80" s="344"/>
      <c r="K80" s="344"/>
      <c r="L80" s="344"/>
      <c r="M80" s="344"/>
      <c r="N80" s="344"/>
      <c r="O80" s="344"/>
      <c r="P80" s="663"/>
      <c r="Q80" s="663"/>
      <c r="R80" s="663"/>
      <c r="S80" s="663"/>
      <c r="T80" s="663"/>
      <c r="U80" s="663"/>
      <c r="V80" s="663"/>
      <c r="W80" s="344"/>
      <c r="X80" s="885" t="s">
        <v>707</v>
      </c>
      <c r="Y80" s="886"/>
      <c r="Z80" s="886"/>
      <c r="AA80" s="886"/>
      <c r="AB80" s="886"/>
      <c r="AC80" s="886"/>
      <c r="AD80" s="887"/>
      <c r="AE80" s="332"/>
      <c r="AF80" s="912"/>
      <c r="AG80" s="701" t="s">
        <v>704</v>
      </c>
      <c r="AH80" s="702" t="e">
        <f>$O$15-$R$8-$O$32-$Y$8+$O$18</f>
        <v>#N/A</v>
      </c>
      <c r="AI80" s="721" t="str">
        <f t="shared" ref="AI80:AI89" si="3">IFERROR(AH80/$AH$74,"NA")</f>
        <v>NA</v>
      </c>
    </row>
    <row r="81" spans="1:35" ht="15.75" x14ac:dyDescent="0.25">
      <c r="A81" s="332"/>
      <c r="B81" s="332"/>
      <c r="C81" s="332"/>
      <c r="D81" s="332"/>
      <c r="E81" s="344"/>
      <c r="F81" s="344"/>
      <c r="G81" s="344"/>
      <c r="H81" s="344"/>
      <c r="I81" s="344"/>
      <c r="J81" s="344"/>
      <c r="K81" s="344"/>
      <c r="L81" s="344"/>
      <c r="M81" s="344"/>
      <c r="N81" s="344"/>
      <c r="O81" s="344"/>
      <c r="P81" s="344"/>
      <c r="Q81" s="344"/>
      <c r="R81" s="344"/>
      <c r="S81" s="344"/>
      <c r="T81" s="344"/>
      <c r="U81" s="344"/>
      <c r="V81" s="344"/>
      <c r="W81" s="344"/>
      <c r="X81" s="885" t="s">
        <v>708</v>
      </c>
      <c r="Y81" s="886"/>
      <c r="Z81" s="886"/>
      <c r="AA81" s="886"/>
      <c r="AB81" s="886"/>
      <c r="AC81" s="886"/>
      <c r="AD81" s="887"/>
      <c r="AE81" s="332"/>
      <c r="AF81" s="912"/>
      <c r="AG81" s="701" t="s">
        <v>301</v>
      </c>
      <c r="AH81" s="702" t="e">
        <f>I37+J32+M32+O32+S32+V32+Y32</f>
        <v>#N/A</v>
      </c>
      <c r="AI81" s="721" t="str">
        <f t="shared" si="3"/>
        <v>NA</v>
      </c>
    </row>
    <row r="82" spans="1:35" ht="15.75" customHeight="1" x14ac:dyDescent="0.25">
      <c r="A82" s="332"/>
      <c r="B82" s="332"/>
      <c r="C82" s="332"/>
      <c r="D82" s="332"/>
      <c r="E82" s="344"/>
      <c r="F82" s="344"/>
      <c r="G82" s="344"/>
      <c r="H82" s="344"/>
      <c r="I82" s="344"/>
      <c r="J82" s="344"/>
      <c r="K82" s="344"/>
      <c r="L82" s="344"/>
      <c r="M82" s="344"/>
      <c r="N82" s="344"/>
      <c r="O82" s="344"/>
      <c r="P82" s="344"/>
      <c r="Q82" s="344"/>
      <c r="R82" s="344"/>
      <c r="S82" s="344"/>
      <c r="T82" s="344"/>
      <c r="U82" s="344"/>
      <c r="V82" s="344"/>
      <c r="W82" s="344"/>
      <c r="X82" s="885" t="s">
        <v>232</v>
      </c>
      <c r="Y82" s="886"/>
      <c r="Z82" s="886"/>
      <c r="AA82" s="886"/>
      <c r="AB82" s="886"/>
      <c r="AC82" s="886"/>
      <c r="AD82" s="887"/>
      <c r="AE82" s="332"/>
      <c r="AF82" s="912"/>
      <c r="AG82" s="701" t="s">
        <v>698</v>
      </c>
      <c r="AH82" s="702" t="e">
        <f>Z29</f>
        <v>#N/A</v>
      </c>
      <c r="AI82" s="721" t="str">
        <f t="shared" si="3"/>
        <v>NA</v>
      </c>
    </row>
    <row r="83" spans="1:35" ht="15.75" x14ac:dyDescent="0.25">
      <c r="A83" s="332"/>
      <c r="B83" s="332"/>
      <c r="C83" s="332"/>
      <c r="D83" s="332"/>
      <c r="E83" s="344"/>
      <c r="F83" s="344"/>
      <c r="G83" s="344"/>
      <c r="H83" s="344"/>
      <c r="I83" s="344"/>
      <c r="J83" s="344"/>
      <c r="K83" s="344"/>
      <c r="L83" s="344"/>
      <c r="M83" s="344"/>
      <c r="N83" s="344"/>
      <c r="O83" s="344"/>
      <c r="P83" s="344"/>
      <c r="Q83" s="344"/>
      <c r="R83" s="344"/>
      <c r="S83" s="344"/>
      <c r="T83" s="344"/>
      <c r="U83" s="344"/>
      <c r="V83" s="344"/>
      <c r="W83" s="344"/>
      <c r="X83" s="885"/>
      <c r="Y83" s="886"/>
      <c r="Z83" s="886"/>
      <c r="AA83" s="886"/>
      <c r="AB83" s="886"/>
      <c r="AC83" s="886"/>
      <c r="AD83" s="887"/>
      <c r="AE83" s="332"/>
      <c r="AF83" s="912"/>
      <c r="AG83" s="701" t="s">
        <v>151</v>
      </c>
      <c r="AH83" s="702">
        <f>Y8</f>
        <v>0</v>
      </c>
      <c r="AI83" s="721" t="str">
        <f t="shared" si="3"/>
        <v>NA</v>
      </c>
    </row>
    <row r="84" spans="1:35" ht="15.75" customHeight="1" x14ac:dyDescent="0.25">
      <c r="A84" s="332"/>
      <c r="B84" s="332"/>
      <c r="C84" s="332"/>
      <c r="D84" s="332"/>
      <c r="E84" s="344"/>
      <c r="F84" s="344"/>
      <c r="G84" s="344"/>
      <c r="H84" s="344"/>
      <c r="I84" s="344"/>
      <c r="J84" s="344"/>
      <c r="K84" s="344"/>
      <c r="L84" s="344"/>
      <c r="M84" s="344"/>
      <c r="N84" s="344"/>
      <c r="O84" s="344"/>
      <c r="P84" s="344"/>
      <c r="Q84" s="344"/>
      <c r="R84" s="344"/>
      <c r="S84" s="344"/>
      <c r="T84" s="344"/>
      <c r="U84" s="344"/>
      <c r="V84" s="344"/>
      <c r="W84" s="344"/>
      <c r="X84" s="885" t="s">
        <v>233</v>
      </c>
      <c r="Y84" s="886"/>
      <c r="Z84" s="886"/>
      <c r="AA84" s="886"/>
      <c r="AB84" s="886"/>
      <c r="AC84" s="886"/>
      <c r="AD84" s="887"/>
      <c r="AE84" s="332"/>
      <c r="AF84" s="912"/>
      <c r="AG84" s="706" t="s">
        <v>699</v>
      </c>
      <c r="AH84" s="702">
        <f>R8+V8</f>
        <v>0</v>
      </c>
      <c r="AI84" s="721" t="str">
        <f t="shared" si="3"/>
        <v>NA</v>
      </c>
    </row>
    <row r="85" spans="1:35" ht="15.75" x14ac:dyDescent="0.25">
      <c r="A85" s="332"/>
      <c r="B85" s="332"/>
      <c r="C85" s="332"/>
      <c r="D85" s="332"/>
      <c r="E85" s="332"/>
      <c r="F85" s="332"/>
      <c r="G85" s="332"/>
      <c r="H85" s="332"/>
      <c r="I85" s="593"/>
      <c r="J85" s="332"/>
      <c r="K85" s="332"/>
      <c r="L85" s="332"/>
      <c r="M85" s="332"/>
      <c r="N85" s="332"/>
      <c r="O85" s="332"/>
      <c r="P85" s="332"/>
      <c r="Q85" s="332"/>
      <c r="R85" s="332"/>
      <c r="S85" s="332"/>
      <c r="T85" s="332"/>
      <c r="U85" s="332"/>
      <c r="V85" s="332"/>
      <c r="W85" s="344"/>
      <c r="X85" s="914"/>
      <c r="Y85" s="915"/>
      <c r="Z85" s="915"/>
      <c r="AA85" s="915"/>
      <c r="AB85" s="915"/>
      <c r="AC85" s="915"/>
      <c r="AD85" s="916"/>
      <c r="AE85" s="332"/>
      <c r="AF85" s="912"/>
      <c r="AG85" s="701" t="s">
        <v>196</v>
      </c>
      <c r="AH85" s="702" t="e">
        <f>I37+J32+M32+O32+S32+V32+Y32</f>
        <v>#N/A</v>
      </c>
      <c r="AI85" s="721" t="str">
        <f t="shared" si="3"/>
        <v>NA</v>
      </c>
    </row>
    <row r="86" spans="1:35" x14ac:dyDescent="0.2">
      <c r="A86" s="332"/>
      <c r="B86" s="332"/>
      <c r="C86" s="332"/>
      <c r="D86" s="332"/>
      <c r="E86" s="332"/>
      <c r="F86" s="332"/>
      <c r="G86" s="332"/>
      <c r="H86" s="332"/>
      <c r="I86" s="593"/>
      <c r="J86" s="332"/>
      <c r="K86" s="332"/>
      <c r="L86" s="332"/>
      <c r="M86" s="332"/>
      <c r="N86" s="332"/>
      <c r="O86" s="332"/>
      <c r="P86" s="332"/>
      <c r="Q86" s="332"/>
      <c r="R86" s="332"/>
      <c r="S86" s="332"/>
      <c r="T86" s="332"/>
      <c r="U86" s="332"/>
      <c r="V86" s="332"/>
      <c r="W86" s="332"/>
      <c r="X86" s="332"/>
      <c r="Y86" s="332"/>
      <c r="Z86" s="332"/>
      <c r="AA86" s="332"/>
      <c r="AB86" s="332"/>
      <c r="AC86" s="332"/>
      <c r="AD86" s="332"/>
      <c r="AE86" s="332"/>
      <c r="AF86" s="912"/>
      <c r="AG86" s="706" t="s">
        <v>186</v>
      </c>
      <c r="AH86" s="702" t="e">
        <f>T45</f>
        <v>#N/A</v>
      </c>
      <c r="AI86" s="721" t="str">
        <f t="shared" si="3"/>
        <v>NA</v>
      </c>
    </row>
    <row r="87" spans="1:35" x14ac:dyDescent="0.2">
      <c r="A87" s="332"/>
      <c r="B87" s="332"/>
      <c r="C87" s="332"/>
      <c r="D87" s="332"/>
      <c r="E87" s="332"/>
      <c r="F87" s="332"/>
      <c r="G87" s="332"/>
      <c r="H87" s="332"/>
      <c r="I87" s="593"/>
      <c r="J87" s="332"/>
      <c r="K87" s="332"/>
      <c r="L87" s="332"/>
      <c r="M87" s="332"/>
      <c r="N87" s="332"/>
      <c r="O87" s="332"/>
      <c r="P87" s="332"/>
      <c r="Q87" s="332"/>
      <c r="R87" s="332"/>
      <c r="S87" s="332"/>
      <c r="T87" s="332"/>
      <c r="U87" s="332"/>
      <c r="V87" s="332"/>
      <c r="W87" s="332"/>
      <c r="X87" s="332"/>
      <c r="Y87" s="332"/>
      <c r="Z87" s="332"/>
      <c r="AA87" s="332"/>
      <c r="AB87" s="332"/>
      <c r="AC87" s="332"/>
      <c r="AD87" s="332"/>
      <c r="AE87" s="332"/>
      <c r="AF87" s="912"/>
      <c r="AG87" s="706" t="s">
        <v>145</v>
      </c>
      <c r="AH87" s="702" t="e">
        <f>K51</f>
        <v>#N/A</v>
      </c>
      <c r="AI87" s="721" t="str">
        <f t="shared" si="3"/>
        <v>NA</v>
      </c>
    </row>
    <row r="88" spans="1:35" x14ac:dyDescent="0.2">
      <c r="A88" s="332"/>
      <c r="B88" s="332"/>
      <c r="C88" s="332"/>
      <c r="D88" s="332"/>
      <c r="E88" s="332"/>
      <c r="F88" s="332"/>
      <c r="G88" s="332"/>
      <c r="H88" s="332"/>
      <c r="I88" s="593"/>
      <c r="J88" s="332"/>
      <c r="K88" s="332"/>
      <c r="L88" s="332"/>
      <c r="M88" s="332"/>
      <c r="N88" s="332"/>
      <c r="O88" s="332"/>
      <c r="P88" s="332"/>
      <c r="Q88" s="332"/>
      <c r="R88" s="332"/>
      <c r="S88" s="332"/>
      <c r="T88" s="332"/>
      <c r="U88" s="332"/>
      <c r="V88" s="332"/>
      <c r="W88" s="332"/>
      <c r="X88" s="332"/>
      <c r="Y88" s="332"/>
      <c r="Z88" s="332"/>
      <c r="AA88" s="332"/>
      <c r="AB88" s="332"/>
      <c r="AC88" s="332"/>
      <c r="AD88" s="332"/>
      <c r="AE88" s="332"/>
      <c r="AF88" s="912"/>
      <c r="AG88" s="706" t="s">
        <v>169</v>
      </c>
      <c r="AH88" s="702" t="e">
        <f>AA40</f>
        <v>#N/A</v>
      </c>
      <c r="AI88" s="721" t="str">
        <f t="shared" si="3"/>
        <v>NA</v>
      </c>
    </row>
    <row r="89" spans="1:35" x14ac:dyDescent="0.2">
      <c r="A89" s="332"/>
      <c r="B89" s="332"/>
      <c r="C89" s="332"/>
      <c r="D89" s="332"/>
      <c r="E89" s="332"/>
      <c r="F89" s="332"/>
      <c r="G89" s="332"/>
      <c r="H89" s="332"/>
      <c r="I89" s="593"/>
      <c r="J89" s="332"/>
      <c r="K89" s="332"/>
      <c r="L89" s="332"/>
      <c r="M89" s="332"/>
      <c r="N89" s="332"/>
      <c r="O89" s="332"/>
      <c r="P89" s="332"/>
      <c r="Q89" s="332"/>
      <c r="R89" s="332"/>
      <c r="S89" s="332"/>
      <c r="T89" s="332"/>
      <c r="U89" s="332"/>
      <c r="V89" s="332"/>
      <c r="W89" s="332"/>
      <c r="X89" s="332"/>
      <c r="Y89" s="332"/>
      <c r="Z89" s="332"/>
      <c r="AA89" s="332"/>
      <c r="AB89" s="332"/>
      <c r="AC89" s="332"/>
      <c r="AD89" s="332"/>
      <c r="AE89" s="332"/>
      <c r="AF89" s="913"/>
      <c r="AG89" s="707" t="s">
        <v>144</v>
      </c>
      <c r="AH89" s="708" t="e">
        <f>P45</f>
        <v>#N/A</v>
      </c>
      <c r="AI89" s="723" t="str">
        <f t="shared" si="3"/>
        <v>NA</v>
      </c>
    </row>
    <row r="90" spans="1:35" ht="21" customHeight="1" x14ac:dyDescent="0.35">
      <c r="A90" s="332"/>
      <c r="B90" s="332"/>
      <c r="C90" s="332"/>
      <c r="D90" s="332"/>
      <c r="E90" s="636" t="s">
        <v>619</v>
      </c>
      <c r="F90" s="632"/>
      <c r="G90" s="632"/>
      <c r="H90" s="632"/>
      <c r="I90" s="632"/>
      <c r="J90" s="632"/>
      <c r="K90" s="632"/>
      <c r="L90" s="632"/>
      <c r="M90" s="632"/>
      <c r="N90" s="632"/>
      <c r="O90" s="186"/>
      <c r="P90" s="332"/>
      <c r="Q90" s="332"/>
      <c r="R90" s="332"/>
      <c r="S90" s="636" t="s">
        <v>621</v>
      </c>
      <c r="T90" s="332"/>
      <c r="U90" s="332"/>
      <c r="V90" s="332"/>
      <c r="W90" s="332"/>
      <c r="X90" s="332"/>
      <c r="Y90" s="332"/>
      <c r="Z90" s="332"/>
      <c r="AA90" s="332"/>
      <c r="AB90" s="332"/>
      <c r="AC90" s="332"/>
      <c r="AD90" s="332"/>
      <c r="AE90" s="332"/>
      <c r="AF90" s="709"/>
    </row>
    <row r="91" spans="1:35" ht="21" x14ac:dyDescent="0.35">
      <c r="A91" s="332"/>
      <c r="B91" s="332"/>
      <c r="C91" s="332"/>
      <c r="D91" s="332"/>
      <c r="E91" s="637" t="s">
        <v>620</v>
      </c>
      <c r="F91" s="332"/>
      <c r="G91" s="332"/>
      <c r="H91" s="332"/>
      <c r="I91" s="593"/>
      <c r="J91" s="332"/>
      <c r="K91" s="332"/>
      <c r="L91" s="332"/>
      <c r="M91" s="332"/>
      <c r="N91" s="332"/>
      <c r="O91" s="332"/>
      <c r="P91" s="332"/>
      <c r="Q91" s="332"/>
      <c r="R91" s="332"/>
      <c r="S91" s="637" t="s">
        <v>620</v>
      </c>
      <c r="T91" s="332"/>
      <c r="U91" s="332"/>
      <c r="V91" s="332"/>
      <c r="W91" s="332"/>
      <c r="X91" s="332"/>
      <c r="Y91" s="332"/>
      <c r="Z91" s="332"/>
      <c r="AA91" s="332"/>
      <c r="AB91" s="332"/>
      <c r="AC91" s="332"/>
      <c r="AD91" s="332"/>
      <c r="AE91" s="332"/>
    </row>
    <row r="92" spans="1:35" x14ac:dyDescent="0.2">
      <c r="A92" s="332"/>
      <c r="B92" s="332"/>
      <c r="C92" s="332"/>
      <c r="D92" s="332"/>
      <c r="E92" s="332"/>
      <c r="F92" s="332"/>
      <c r="G92" s="332"/>
      <c r="H92" s="332"/>
      <c r="I92" s="593"/>
      <c r="J92" s="332"/>
      <c r="K92" s="332"/>
      <c r="L92" s="332"/>
      <c r="M92" s="332"/>
      <c r="N92" s="332"/>
      <c r="O92" s="332"/>
      <c r="P92" s="332"/>
      <c r="Q92" s="332"/>
      <c r="R92" s="332"/>
      <c r="S92" s="332"/>
      <c r="T92" s="332"/>
      <c r="U92" s="332"/>
      <c r="V92" s="332"/>
      <c r="W92" s="332"/>
      <c r="X92" s="332"/>
      <c r="Y92" s="332"/>
      <c r="Z92" s="332"/>
      <c r="AA92" s="332"/>
      <c r="AB92" s="332"/>
      <c r="AC92" s="332"/>
      <c r="AD92" s="332"/>
      <c r="AE92" s="332"/>
    </row>
    <row r="93" spans="1:35" x14ac:dyDescent="0.2">
      <c r="A93" s="332"/>
      <c r="B93" s="332"/>
      <c r="C93" s="332"/>
      <c r="D93" s="332"/>
      <c r="E93" s="332"/>
      <c r="F93" s="332"/>
      <c r="G93" s="332"/>
      <c r="H93" s="332"/>
      <c r="I93" s="593"/>
      <c r="J93" s="332"/>
      <c r="K93" s="332"/>
      <c r="L93" s="332"/>
      <c r="M93" s="332"/>
      <c r="N93" s="332"/>
      <c r="O93" s="332"/>
      <c r="P93" s="332"/>
      <c r="Q93" s="332"/>
      <c r="R93" s="332"/>
      <c r="S93" s="332"/>
      <c r="T93" s="332"/>
      <c r="U93" s="332"/>
      <c r="V93" s="332"/>
      <c r="W93" s="332"/>
      <c r="X93" s="332"/>
      <c r="Y93" s="332"/>
      <c r="Z93" s="332"/>
      <c r="AA93" s="332"/>
      <c r="AB93" s="332"/>
      <c r="AC93" s="332"/>
      <c r="AD93" s="332"/>
      <c r="AE93" s="332"/>
    </row>
    <row r="94" spans="1:35" x14ac:dyDescent="0.2">
      <c r="A94" s="332"/>
      <c r="B94" s="332"/>
      <c r="C94" s="332"/>
      <c r="D94" s="332"/>
      <c r="E94" s="332"/>
      <c r="F94" s="332"/>
      <c r="G94" s="332"/>
      <c r="H94" s="332"/>
      <c r="I94" s="593"/>
      <c r="J94" s="332"/>
      <c r="K94" s="332"/>
      <c r="L94" s="332"/>
      <c r="M94" s="332"/>
      <c r="N94" s="332"/>
      <c r="O94" s="332"/>
      <c r="P94" s="332"/>
      <c r="Q94" s="332"/>
      <c r="R94" s="332"/>
      <c r="S94" s="332"/>
      <c r="T94" s="332"/>
      <c r="U94" s="332"/>
      <c r="V94" s="332"/>
      <c r="W94" s="332"/>
      <c r="X94" s="332"/>
      <c r="Y94" s="332"/>
      <c r="Z94" s="332"/>
      <c r="AA94" s="332"/>
      <c r="AB94" s="332"/>
      <c r="AC94" s="332"/>
      <c r="AD94" s="332"/>
      <c r="AE94" s="332"/>
    </row>
    <row r="95" spans="1:35" x14ac:dyDescent="0.2">
      <c r="A95" s="332"/>
      <c r="B95" s="332"/>
      <c r="C95" s="332"/>
      <c r="D95" s="332"/>
      <c r="E95" s="332"/>
      <c r="F95" s="332"/>
      <c r="G95" s="332"/>
      <c r="H95" s="332"/>
      <c r="I95" s="593"/>
      <c r="J95" s="332"/>
      <c r="K95" s="332"/>
      <c r="L95" s="332"/>
      <c r="M95" s="332"/>
      <c r="N95" s="332"/>
      <c r="O95" s="332"/>
      <c r="P95" s="332"/>
      <c r="Q95" s="332"/>
      <c r="R95" s="332"/>
      <c r="S95" s="332"/>
      <c r="T95" s="332"/>
      <c r="U95" s="332"/>
      <c r="V95" s="332"/>
      <c r="W95" s="332"/>
      <c r="X95" s="332"/>
      <c r="Y95" s="332"/>
      <c r="Z95" s="332"/>
      <c r="AA95" s="332"/>
      <c r="AB95" s="332"/>
      <c r="AC95" s="332"/>
      <c r="AD95" s="332"/>
      <c r="AE95" s="332"/>
    </row>
    <row r="96" spans="1:35" x14ac:dyDescent="0.2">
      <c r="A96" s="332"/>
      <c r="B96" s="332"/>
      <c r="C96" s="332"/>
      <c r="D96" s="332"/>
      <c r="E96" s="332"/>
      <c r="F96" s="332"/>
      <c r="G96" s="332"/>
      <c r="H96" s="332"/>
      <c r="I96" s="593"/>
      <c r="J96" s="332"/>
      <c r="K96" s="332"/>
      <c r="L96" s="332"/>
      <c r="M96" s="332"/>
      <c r="N96" s="332"/>
      <c r="O96" s="332"/>
      <c r="P96" s="332"/>
      <c r="Q96" s="332"/>
      <c r="R96" s="332"/>
      <c r="S96" s="332"/>
      <c r="T96" s="332"/>
      <c r="U96" s="332"/>
      <c r="V96" s="332"/>
      <c r="W96" s="332"/>
      <c r="X96" s="332"/>
      <c r="Y96" s="332"/>
      <c r="Z96" s="332"/>
      <c r="AA96" s="332"/>
      <c r="AB96" s="332"/>
      <c r="AC96" s="332"/>
      <c r="AD96" s="332"/>
      <c r="AE96" s="332"/>
    </row>
    <row r="97" spans="1:31" x14ac:dyDescent="0.2">
      <c r="A97" s="332"/>
      <c r="B97" s="332"/>
      <c r="C97" s="332"/>
      <c r="D97" s="332"/>
      <c r="E97" s="332"/>
      <c r="F97" s="332"/>
      <c r="G97" s="332"/>
      <c r="H97" s="332"/>
      <c r="I97" s="593"/>
      <c r="J97" s="332"/>
      <c r="K97" s="332"/>
      <c r="L97" s="332"/>
      <c r="M97" s="332"/>
      <c r="N97" s="332"/>
      <c r="O97" s="332"/>
      <c r="P97" s="332"/>
      <c r="Q97" s="332"/>
      <c r="R97" s="332"/>
      <c r="S97" s="332"/>
      <c r="T97" s="332"/>
      <c r="U97" s="332"/>
      <c r="V97" s="332"/>
      <c r="W97" s="332"/>
      <c r="X97" s="332"/>
      <c r="Y97" s="332"/>
      <c r="Z97" s="332"/>
      <c r="AA97" s="332"/>
      <c r="AB97" s="332"/>
      <c r="AC97" s="332"/>
      <c r="AD97" s="332"/>
      <c r="AE97" s="332"/>
    </row>
    <row r="98" spans="1:31" x14ac:dyDescent="0.2">
      <c r="A98" s="332"/>
      <c r="B98" s="332"/>
      <c r="C98" s="332"/>
      <c r="D98" s="332"/>
      <c r="E98" s="332"/>
      <c r="F98" s="332"/>
      <c r="G98" s="332"/>
      <c r="H98" s="332"/>
      <c r="I98" s="593"/>
      <c r="J98" s="332"/>
      <c r="K98" s="332"/>
      <c r="L98" s="332"/>
      <c r="M98" s="332"/>
      <c r="N98" s="332"/>
      <c r="O98" s="332"/>
      <c r="P98" s="332"/>
      <c r="Q98" s="332"/>
      <c r="R98" s="332"/>
      <c r="S98" s="332"/>
      <c r="T98" s="332"/>
      <c r="U98" s="332"/>
      <c r="V98" s="332"/>
      <c r="W98" s="332"/>
      <c r="X98" s="332"/>
      <c r="Y98" s="332"/>
      <c r="Z98" s="332"/>
      <c r="AA98" s="332"/>
      <c r="AB98" s="332"/>
      <c r="AC98" s="332"/>
      <c r="AD98" s="332"/>
      <c r="AE98" s="332"/>
    </row>
    <row r="99" spans="1:31" x14ac:dyDescent="0.2">
      <c r="A99" s="332"/>
      <c r="B99" s="332"/>
      <c r="C99" s="332"/>
      <c r="D99" s="332"/>
      <c r="E99" s="332"/>
      <c r="F99" s="332"/>
      <c r="G99" s="332"/>
      <c r="H99" s="332"/>
      <c r="I99" s="593"/>
      <c r="J99" s="332"/>
      <c r="K99" s="332"/>
      <c r="L99" s="332"/>
      <c r="M99" s="332"/>
      <c r="N99" s="332"/>
      <c r="O99" s="332"/>
      <c r="P99" s="332"/>
      <c r="Q99" s="332"/>
      <c r="R99" s="332"/>
      <c r="S99" s="332"/>
      <c r="T99" s="332"/>
      <c r="U99" s="332"/>
      <c r="V99" s="332"/>
      <c r="W99" s="332"/>
      <c r="X99" s="332"/>
      <c r="Y99" s="332"/>
      <c r="Z99" s="332"/>
      <c r="AA99" s="332"/>
      <c r="AB99" s="332"/>
      <c r="AC99" s="332"/>
      <c r="AD99" s="332"/>
      <c r="AE99" s="332"/>
    </row>
    <row r="100" spans="1:31" x14ac:dyDescent="0.2">
      <c r="A100" s="332"/>
      <c r="B100" s="332"/>
      <c r="C100" s="332"/>
      <c r="D100" s="332"/>
      <c r="E100" s="332"/>
      <c r="F100" s="332"/>
      <c r="G100" s="332"/>
      <c r="H100" s="332"/>
      <c r="I100" s="593"/>
      <c r="J100" s="332"/>
      <c r="K100" s="332"/>
      <c r="L100" s="332"/>
      <c r="M100" s="332"/>
      <c r="N100" s="332"/>
      <c r="O100" s="332"/>
      <c r="P100" s="332"/>
      <c r="Q100" s="332"/>
      <c r="R100" s="332"/>
      <c r="S100" s="332"/>
      <c r="T100" s="332"/>
      <c r="U100" s="332"/>
      <c r="V100" s="332"/>
      <c r="W100" s="332"/>
      <c r="X100" s="332"/>
      <c r="Y100" s="332"/>
      <c r="Z100" s="332"/>
      <c r="AA100" s="332"/>
      <c r="AB100" s="332"/>
      <c r="AC100" s="332"/>
      <c r="AD100" s="332"/>
      <c r="AE100" s="332"/>
    </row>
    <row r="101" spans="1:31" x14ac:dyDescent="0.2">
      <c r="A101" s="332"/>
      <c r="B101" s="332"/>
      <c r="C101" s="332"/>
      <c r="D101" s="332"/>
      <c r="E101" s="332"/>
      <c r="F101" s="332"/>
      <c r="G101" s="332"/>
      <c r="H101" s="332"/>
      <c r="I101" s="593"/>
      <c r="J101" s="332"/>
      <c r="K101" s="332"/>
      <c r="L101" s="332"/>
      <c r="M101" s="332"/>
      <c r="N101" s="332"/>
      <c r="O101" s="332"/>
      <c r="P101" s="332"/>
      <c r="Q101" s="332"/>
      <c r="R101" s="332"/>
      <c r="S101" s="332"/>
      <c r="T101" s="332"/>
      <c r="U101" s="332"/>
      <c r="V101" s="332"/>
      <c r="W101" s="332"/>
      <c r="X101" s="332"/>
      <c r="Y101" s="332"/>
      <c r="Z101" s="332"/>
      <c r="AA101" s="332"/>
      <c r="AB101" s="332"/>
      <c r="AC101" s="332"/>
      <c r="AD101" s="332"/>
      <c r="AE101" s="332"/>
    </row>
    <row r="102" spans="1:31" x14ac:dyDescent="0.2">
      <c r="A102" s="332"/>
      <c r="B102" s="332"/>
      <c r="C102" s="332"/>
      <c r="D102" s="332"/>
      <c r="E102" s="332"/>
      <c r="F102" s="332"/>
      <c r="G102" s="332"/>
      <c r="H102" s="332"/>
      <c r="I102" s="593"/>
      <c r="J102" s="332"/>
      <c r="K102" s="332"/>
      <c r="L102" s="332"/>
      <c r="M102" s="332"/>
      <c r="N102" s="332"/>
      <c r="O102" s="332"/>
      <c r="P102" s="332"/>
      <c r="Q102" s="332"/>
      <c r="R102" s="332"/>
      <c r="S102" s="332"/>
      <c r="T102" s="332"/>
      <c r="U102" s="332"/>
      <c r="V102" s="332"/>
      <c r="W102" s="332"/>
      <c r="X102" s="332"/>
      <c r="Y102" s="332"/>
      <c r="Z102" s="332"/>
      <c r="AA102" s="332"/>
      <c r="AB102" s="332"/>
      <c r="AC102" s="332"/>
      <c r="AD102" s="332"/>
      <c r="AE102" s="332"/>
    </row>
    <row r="103" spans="1:31" x14ac:dyDescent="0.2">
      <c r="A103" s="332"/>
      <c r="B103" s="332"/>
      <c r="C103" s="332"/>
      <c r="D103" s="332"/>
      <c r="E103" s="332"/>
      <c r="F103" s="332"/>
      <c r="G103" s="332"/>
      <c r="H103" s="332"/>
      <c r="I103" s="593"/>
      <c r="J103" s="332"/>
      <c r="K103" s="332"/>
      <c r="L103" s="332"/>
      <c r="M103" s="332"/>
      <c r="N103" s="332"/>
      <c r="O103" s="332"/>
      <c r="P103" s="332"/>
      <c r="Q103" s="332"/>
      <c r="R103" s="332"/>
      <c r="S103" s="332"/>
      <c r="T103" s="332"/>
      <c r="U103" s="332"/>
      <c r="V103" s="332"/>
      <c r="W103" s="332"/>
      <c r="X103" s="332"/>
      <c r="Y103" s="332"/>
      <c r="Z103" s="332"/>
      <c r="AA103" s="332"/>
      <c r="AB103" s="332"/>
      <c r="AC103" s="332"/>
      <c r="AD103" s="332"/>
      <c r="AE103" s="332"/>
    </row>
    <row r="104" spans="1:31" x14ac:dyDescent="0.2">
      <c r="A104" s="332"/>
      <c r="B104" s="332"/>
      <c r="C104" s="332"/>
      <c r="D104" s="332"/>
      <c r="E104" s="332"/>
      <c r="F104" s="332"/>
      <c r="G104" s="332"/>
      <c r="H104" s="332"/>
      <c r="I104" s="593"/>
      <c r="J104" s="332"/>
      <c r="K104" s="332"/>
      <c r="L104" s="332"/>
      <c r="M104" s="332"/>
      <c r="N104" s="332"/>
      <c r="O104" s="332"/>
      <c r="P104" s="332"/>
      <c r="Q104" s="332"/>
      <c r="R104" s="332"/>
      <c r="S104" s="332"/>
      <c r="T104" s="332"/>
      <c r="U104" s="332"/>
      <c r="V104" s="332"/>
      <c r="W104" s="332"/>
      <c r="X104" s="332"/>
      <c r="Y104" s="332"/>
      <c r="Z104" s="332"/>
      <c r="AA104" s="332"/>
      <c r="AB104" s="332"/>
      <c r="AC104" s="332"/>
      <c r="AD104" s="332"/>
      <c r="AE104" s="332"/>
    </row>
    <row r="105" spans="1:31" x14ac:dyDescent="0.2">
      <c r="A105" s="332"/>
      <c r="B105" s="332"/>
      <c r="C105" s="332"/>
      <c r="D105" s="332"/>
      <c r="E105" s="332"/>
      <c r="F105" s="332"/>
      <c r="G105" s="332"/>
      <c r="H105" s="332"/>
      <c r="I105" s="593"/>
      <c r="J105" s="332"/>
      <c r="K105" s="332"/>
      <c r="L105" s="332"/>
      <c r="M105" s="332"/>
      <c r="N105" s="332"/>
      <c r="O105" s="332"/>
      <c r="P105" s="332"/>
      <c r="Q105" s="332"/>
      <c r="R105" s="332"/>
      <c r="S105" s="332"/>
      <c r="T105" s="332"/>
      <c r="U105" s="332"/>
      <c r="V105" s="332"/>
      <c r="W105" s="332"/>
      <c r="X105" s="332"/>
      <c r="Y105" s="332"/>
      <c r="Z105" s="332"/>
      <c r="AA105" s="332"/>
      <c r="AB105" s="332"/>
      <c r="AC105" s="332"/>
      <c r="AD105" s="332"/>
      <c r="AE105" s="332"/>
    </row>
    <row r="106" spans="1:31" x14ac:dyDescent="0.2">
      <c r="A106" s="332"/>
      <c r="B106" s="332"/>
      <c r="C106" s="332"/>
      <c r="D106" s="332"/>
      <c r="E106" s="332"/>
      <c r="F106" s="332"/>
      <c r="G106" s="332"/>
      <c r="H106" s="332"/>
      <c r="I106" s="593"/>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row>
    <row r="107" spans="1:31" x14ac:dyDescent="0.2">
      <c r="A107" s="332"/>
      <c r="B107" s="332"/>
      <c r="C107" s="332"/>
      <c r="D107" s="332"/>
      <c r="E107" s="332"/>
      <c r="F107" s="332"/>
      <c r="G107" s="332"/>
      <c r="H107" s="332"/>
      <c r="I107" s="593"/>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row>
    <row r="108" spans="1:31" x14ac:dyDescent="0.2">
      <c r="A108" s="332"/>
      <c r="B108" s="332"/>
      <c r="C108" s="332"/>
      <c r="D108" s="332"/>
      <c r="E108" s="332"/>
      <c r="F108" s="332"/>
      <c r="G108" s="332"/>
      <c r="H108" s="332"/>
      <c r="I108" s="593"/>
      <c r="J108" s="332"/>
      <c r="K108" s="332"/>
      <c r="L108" s="332"/>
      <c r="M108" s="332"/>
      <c r="N108" s="332"/>
      <c r="O108" s="332"/>
      <c r="P108" s="332"/>
      <c r="Q108" s="332"/>
      <c r="R108" s="332"/>
      <c r="S108" s="332"/>
      <c r="T108" s="332"/>
      <c r="U108" s="332"/>
      <c r="V108" s="332"/>
      <c r="W108" s="332"/>
      <c r="X108" s="332"/>
      <c r="Y108" s="332"/>
      <c r="Z108" s="332"/>
      <c r="AA108" s="332"/>
      <c r="AB108" s="332"/>
      <c r="AC108" s="332"/>
      <c r="AD108" s="332"/>
      <c r="AE108" s="332"/>
    </row>
    <row r="109" spans="1:31" x14ac:dyDescent="0.2">
      <c r="A109" s="332"/>
      <c r="B109" s="332"/>
      <c r="C109" s="332"/>
      <c r="D109" s="332"/>
      <c r="E109" s="332"/>
      <c r="F109" s="332"/>
      <c r="G109" s="332"/>
      <c r="H109" s="332"/>
      <c r="I109" s="593"/>
      <c r="J109" s="332"/>
      <c r="K109" s="332"/>
      <c r="L109" s="332"/>
      <c r="M109" s="332"/>
      <c r="N109" s="332"/>
      <c r="O109" s="332"/>
      <c r="P109" s="332"/>
      <c r="Q109" s="332"/>
      <c r="R109" s="332"/>
      <c r="S109" s="332"/>
      <c r="T109" s="332"/>
      <c r="U109" s="332"/>
      <c r="V109" s="332"/>
      <c r="W109" s="332"/>
      <c r="X109" s="332"/>
      <c r="Y109" s="332"/>
      <c r="Z109" s="332"/>
      <c r="AA109" s="332"/>
      <c r="AB109" s="332"/>
      <c r="AC109" s="332"/>
      <c r="AD109" s="332"/>
      <c r="AE109" s="332"/>
    </row>
    <row r="110" spans="1:31" x14ac:dyDescent="0.2">
      <c r="A110" s="332"/>
      <c r="B110" s="332"/>
      <c r="C110" s="332"/>
      <c r="D110" s="332"/>
      <c r="E110" s="332"/>
      <c r="F110" s="332"/>
      <c r="G110" s="332"/>
      <c r="H110" s="332"/>
      <c r="I110" s="593"/>
      <c r="J110" s="332"/>
      <c r="K110" s="332"/>
      <c r="L110" s="332"/>
      <c r="M110" s="332"/>
      <c r="N110" s="332"/>
      <c r="O110" s="332"/>
      <c r="P110" s="332"/>
      <c r="Q110" s="332"/>
      <c r="R110" s="332"/>
      <c r="S110" s="332"/>
      <c r="T110" s="332"/>
      <c r="U110" s="332"/>
      <c r="V110" s="332"/>
      <c r="W110" s="332"/>
      <c r="X110" s="332"/>
      <c r="Y110" s="332"/>
      <c r="Z110" s="332"/>
      <c r="AA110" s="332"/>
      <c r="AB110" s="332"/>
      <c r="AC110" s="332"/>
      <c r="AD110" s="332"/>
      <c r="AE110" s="332"/>
    </row>
    <row r="111" spans="1:31" x14ac:dyDescent="0.2">
      <c r="A111" s="332"/>
      <c r="B111" s="332"/>
      <c r="C111" s="332"/>
      <c r="D111" s="332"/>
      <c r="E111" s="332"/>
      <c r="F111" s="332"/>
      <c r="G111" s="332"/>
      <c r="H111" s="332"/>
      <c r="I111" s="593"/>
      <c r="J111" s="332"/>
      <c r="K111" s="332"/>
      <c r="L111" s="332"/>
      <c r="M111" s="332"/>
      <c r="N111" s="332"/>
      <c r="O111" s="332"/>
      <c r="P111" s="332"/>
      <c r="Q111" s="332"/>
      <c r="R111" s="332"/>
      <c r="S111" s="332"/>
      <c r="T111" s="332"/>
      <c r="U111" s="332"/>
      <c r="V111" s="332"/>
      <c r="W111" s="332"/>
      <c r="X111" s="332"/>
      <c r="Y111" s="332"/>
      <c r="Z111" s="332"/>
      <c r="AA111" s="332"/>
      <c r="AB111" s="332"/>
      <c r="AC111" s="332"/>
      <c r="AD111" s="332"/>
      <c r="AE111" s="332"/>
    </row>
    <row r="112" spans="1:31" x14ac:dyDescent="0.2">
      <c r="A112" s="332"/>
      <c r="B112" s="332"/>
      <c r="C112" s="332"/>
      <c r="D112" s="332"/>
      <c r="E112" s="332"/>
      <c r="F112" s="332"/>
      <c r="G112" s="332"/>
      <c r="H112" s="332"/>
      <c r="I112" s="593"/>
      <c r="J112" s="332"/>
      <c r="K112" s="332"/>
      <c r="L112" s="332"/>
      <c r="M112" s="332"/>
      <c r="N112" s="332"/>
      <c r="O112" s="332"/>
      <c r="P112" s="332"/>
      <c r="Q112" s="332"/>
      <c r="R112" s="332"/>
      <c r="S112" s="332"/>
      <c r="T112" s="332"/>
      <c r="U112" s="332"/>
      <c r="V112" s="332"/>
      <c r="W112" s="332"/>
      <c r="X112" s="332"/>
      <c r="Y112" s="332"/>
      <c r="Z112" s="332"/>
      <c r="AA112" s="332"/>
      <c r="AB112" s="332"/>
      <c r="AC112" s="332"/>
      <c r="AD112" s="332"/>
      <c r="AE112" s="332"/>
    </row>
    <row r="113" spans="1:31" x14ac:dyDescent="0.2">
      <c r="A113" s="332"/>
      <c r="B113" s="332"/>
      <c r="C113" s="332"/>
      <c r="D113" s="332"/>
      <c r="E113" s="332"/>
      <c r="F113" s="332"/>
      <c r="G113" s="332"/>
      <c r="H113" s="332"/>
      <c r="I113" s="593"/>
      <c r="J113" s="332"/>
      <c r="K113" s="332"/>
      <c r="L113" s="332"/>
      <c r="M113" s="332"/>
      <c r="N113" s="332"/>
      <c r="O113" s="332"/>
      <c r="P113" s="332"/>
      <c r="Q113" s="332"/>
      <c r="R113" s="332"/>
      <c r="S113" s="332"/>
      <c r="T113" s="332"/>
      <c r="U113" s="332"/>
      <c r="V113" s="332"/>
      <c r="W113" s="332"/>
      <c r="X113" s="332"/>
      <c r="Y113" s="332"/>
      <c r="Z113" s="332"/>
      <c r="AA113" s="332"/>
      <c r="AB113" s="332"/>
      <c r="AC113" s="332"/>
      <c r="AD113" s="332"/>
      <c r="AE113" s="332"/>
    </row>
    <row r="114" spans="1:31" x14ac:dyDescent="0.2">
      <c r="A114" s="332"/>
      <c r="B114" s="332"/>
      <c r="C114" s="332"/>
      <c r="D114" s="332"/>
      <c r="E114" s="332"/>
      <c r="F114" s="332"/>
      <c r="G114" s="332"/>
      <c r="H114" s="332"/>
      <c r="I114" s="593"/>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row>
    <row r="115" spans="1:31" x14ac:dyDescent="0.2">
      <c r="A115" s="332"/>
      <c r="B115" s="332"/>
      <c r="C115" s="332"/>
      <c r="D115" s="332"/>
      <c r="E115" s="332"/>
      <c r="F115" s="332"/>
      <c r="G115" s="332"/>
      <c r="H115" s="332"/>
      <c r="I115" s="593"/>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row>
    <row r="116" spans="1:31" x14ac:dyDescent="0.2">
      <c r="A116" s="332"/>
      <c r="B116" s="332"/>
      <c r="C116" s="332"/>
      <c r="D116" s="332"/>
      <c r="E116" s="332"/>
      <c r="F116" s="332"/>
      <c r="G116" s="332"/>
      <c r="H116" s="332"/>
      <c r="I116" s="593"/>
      <c r="J116" s="332"/>
      <c r="K116" s="332"/>
      <c r="L116" s="332"/>
      <c r="M116" s="332"/>
      <c r="N116" s="332"/>
      <c r="O116" s="332"/>
      <c r="P116" s="332"/>
      <c r="Q116" s="332"/>
      <c r="R116" s="332"/>
      <c r="S116" s="332"/>
      <c r="T116" s="332"/>
      <c r="U116" s="332"/>
      <c r="V116" s="332"/>
      <c r="W116" s="332"/>
      <c r="X116" s="332"/>
      <c r="Y116" s="332"/>
      <c r="Z116" s="332"/>
      <c r="AA116" s="332"/>
      <c r="AB116" s="332"/>
      <c r="AC116" s="332"/>
      <c r="AD116" s="332"/>
      <c r="AE116" s="332"/>
    </row>
  </sheetData>
  <sheetProtection algorithmName="SHA-512" hashValue="GZ3ZNZnlaVipf9XQS7sA4LMx4WshGOiwcJ9tlQyFz15Pfo0P/coqXNmtD15/M4pqpM+o73u1PwtTMi03Aj5zMw==" saltValue="4k0/5ioWHR+Gm/jwMhW0GQ==" spinCount="100000" sheet="1" objects="1" scenarios="1"/>
  <dataConsolidate/>
  <mergeCells count="65">
    <mergeCell ref="X79:AD79"/>
    <mergeCell ref="X80:AD80"/>
    <mergeCell ref="X81:AD81"/>
    <mergeCell ref="AF74:AF89"/>
    <mergeCell ref="AF60:AI60"/>
    <mergeCell ref="AF62:AF73"/>
    <mergeCell ref="X82:AD83"/>
    <mergeCell ref="X84:AD85"/>
    <mergeCell ref="X74:AD76"/>
    <mergeCell ref="X77:AD78"/>
    <mergeCell ref="X70:AD70"/>
    <mergeCell ref="X61:AD62"/>
    <mergeCell ref="X63:AD64"/>
    <mergeCell ref="X68:AD69"/>
    <mergeCell ref="G2:J2"/>
    <mergeCell ref="G3:J3"/>
    <mergeCell ref="X71:AD71"/>
    <mergeCell ref="X72:AD73"/>
    <mergeCell ref="E60:N60"/>
    <mergeCell ref="P60:V60"/>
    <mergeCell ref="E61:N73"/>
    <mergeCell ref="P61:V79"/>
    <mergeCell ref="X60:AD60"/>
    <mergeCell ref="X65:AD65"/>
    <mergeCell ref="Y66:AD66"/>
    <mergeCell ref="X67:AD67"/>
    <mergeCell ref="K48:Q50"/>
    <mergeCell ref="K51:Q51"/>
    <mergeCell ref="AD8:AF8"/>
    <mergeCell ref="AE11:AF12"/>
    <mergeCell ref="AA40:AC40"/>
    <mergeCell ref="AA41:AC41"/>
    <mergeCell ref="K35:AB38"/>
    <mergeCell ref="P45:Q45"/>
    <mergeCell ref="P42:Q44"/>
    <mergeCell ref="T42:V44"/>
    <mergeCell ref="T45:V45"/>
    <mergeCell ref="O40:P40"/>
    <mergeCell ref="O41:P41"/>
    <mergeCell ref="I43:K43"/>
    <mergeCell ref="J44:K44"/>
    <mergeCell ref="V40:W40"/>
    <mergeCell ref="V41:W41"/>
    <mergeCell ref="Z8:AB8"/>
    <mergeCell ref="V8:W8"/>
    <mergeCell ref="Z9:AB9"/>
    <mergeCell ref="Q15:AB19"/>
    <mergeCell ref="T24:V29"/>
    <mergeCell ref="Z24:AB27"/>
    <mergeCell ref="Y33:Z33"/>
    <mergeCell ref="J32:K32"/>
    <mergeCell ref="M32:N32"/>
    <mergeCell ref="O32:P32"/>
    <mergeCell ref="AE10:AF10"/>
    <mergeCell ref="Y32:Z32"/>
    <mergeCell ref="Z29:AB29"/>
    <mergeCell ref="AF25:AG25"/>
    <mergeCell ref="V32:W32"/>
    <mergeCell ref="K14:M28"/>
    <mergeCell ref="O46:P46"/>
    <mergeCell ref="O47:P47"/>
    <mergeCell ref="E14:G39"/>
    <mergeCell ref="O33:P33"/>
    <mergeCell ref="M33:N33"/>
    <mergeCell ref="J33:K33"/>
  </mergeCells>
  <dataValidations count="2">
    <dataValidation type="list" allowBlank="1" showInputMessage="1" showErrorMessage="1" sqref="C2" xr:uid="{00000000-0002-0000-0400-000000000000}">
      <formula1>Scenario</formula1>
    </dataValidation>
    <dataValidation type="list" allowBlank="1" showInputMessage="1" showErrorMessage="1" sqref="C3" xr:uid="{00000000-0002-0000-0400-000001000000}">
      <formula1>Material</formula1>
    </dataValidation>
  </dataValidations>
  <hyperlinks>
    <hyperlink ref="Y66" r:id="rId1" xr:uid="{00000000-0004-0000-0400-000000000000}"/>
    <hyperlink ref="G2:I2" location="'Flow Diagram'!A5" display="1. Waste Flow Diagram" xr:uid="{00000000-0004-0000-0400-000001000000}"/>
    <hyperlink ref="G3:J3" location="'Flow Diagram'!A59" display="2. Sankey Diagram" xr:uid="{00000000-0004-0000-0400-000002000000}"/>
    <hyperlink ref="G2:J2" location="'Flow Diagram'!A5" display="1. Waste Flow Diagram" xr:uid="{00000000-0004-0000-0400-000003000000}"/>
  </hyperlinks>
  <pageMargins left="0.7" right="0.7" top="0.75" bottom="0.75" header="0.3" footer="0.3"/>
  <pageSetup paperSize="9"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81" id="{716A92A3-CC86-41D4-B1D8-6C0B41335CA1}">
            <x14:iconSet iconSet="3Symbols2" showValue="0" custom="1">
              <x14:cfvo type="percent">
                <xm:f>0</xm:f>
              </x14:cfvo>
              <x14:cfvo type="num">
                <xm:f>-1.0000000000000001E-9</xm:f>
              </x14:cfvo>
              <x14:cfvo type="num" gte="0">
                <xm:f>1.0000000000000001E-9</xm:f>
              </x14:cfvo>
              <x14:cfIcon iconSet="3Symbols2" iconId="0"/>
              <x14:cfIcon iconSet="3Symbols2" iconId="2"/>
              <x14:cfIcon iconSet="3Symbols2" iconId="0"/>
            </x14:iconSet>
          </x14:cfRule>
          <xm:sqref>AD21:AD23 AD17:AD18</xm:sqref>
        </x14:conditionalFormatting>
        <x14:conditionalFormatting xmlns:xm="http://schemas.microsoft.com/office/excel/2006/main">
          <x14:cfRule type="iconSet" priority="94" id="{89271FC6-F703-48EC-8A94-3D627D16E1E6}">
            <x14:iconSet iconSet="4TrafficLights" showValue="0" custom="1">
              <x14:cfvo type="percent">
                <xm:f>0</xm:f>
              </x14:cfvo>
              <x14:cfvo type="num">
                <xm:f>0</xm:f>
              </x14:cfvo>
              <x14:cfvo type="num" gte="0">
                <xm:f>0.33</xm:f>
              </x14:cfvo>
              <x14:cfvo type="num" gte="0">
                <xm:f>0.66</xm:f>
              </x14:cfvo>
              <x14:cfIcon iconSet="NoIcons" iconId="0"/>
              <x14:cfIcon iconSet="3TrafficLights1" iconId="0"/>
              <x14:cfIcon iconSet="3TrafficLights1" iconId="1"/>
              <x14:cfIcon iconSet="3TrafficLights1" iconId="2"/>
            </x14:iconSet>
          </x14:cfRule>
          <xm:sqref>J44 O47 J33 AD14:AD16 C27 I18 I25 I38 M33 S33 V33:Z33 R9 X9:Z9 V9 O16 O19 O33 X27 O27 O41 V41 AA41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9">
    <tabColor theme="9"/>
  </sheetPr>
  <dimension ref="A1:AL128"/>
  <sheetViews>
    <sheetView showGridLines="0" showRowColHeaders="0" showRuler="0" zoomScaleNormal="100" zoomScaleSheetLayoutView="80" workbookViewId="0"/>
  </sheetViews>
  <sheetFormatPr baseColWidth="10" defaultColWidth="11" defaultRowHeight="15.75" x14ac:dyDescent="0.25"/>
  <cols>
    <col min="1" max="1" width="32.625" style="283" customWidth="1"/>
    <col min="2" max="2" width="0.625" style="284" customWidth="1"/>
    <col min="3" max="6" width="9.625" style="278" customWidth="1"/>
    <col min="7" max="7" width="0.625" style="279" customWidth="1"/>
    <col min="8" max="11" width="9.625" style="278" customWidth="1"/>
    <col min="12" max="12" width="0.625" style="280" customWidth="1"/>
    <col min="13" max="13" width="20" style="278" customWidth="1"/>
    <col min="14" max="16384" width="11" style="281"/>
  </cols>
  <sheetData>
    <row r="1" spans="1:38" ht="21" x14ac:dyDescent="0.25">
      <c r="A1" s="20" t="s">
        <v>237</v>
      </c>
      <c r="B1" s="221"/>
      <c r="C1" s="222"/>
      <c r="D1" s="222"/>
      <c r="E1" s="222"/>
      <c r="F1" s="222"/>
      <c r="G1" s="223"/>
      <c r="H1" s="222"/>
      <c r="I1" s="222"/>
      <c r="J1" s="222"/>
      <c r="K1" s="222"/>
      <c r="L1" s="224"/>
      <c r="M1" s="222"/>
    </row>
    <row r="2" spans="1:38" ht="5.0999999999999996" customHeight="1" x14ac:dyDescent="0.25">
      <c r="A2" s="2"/>
      <c r="B2" s="221"/>
      <c r="C2" s="222"/>
      <c r="D2" s="222"/>
      <c r="E2" s="222"/>
      <c r="F2" s="222"/>
      <c r="G2" s="223"/>
      <c r="H2" s="222"/>
      <c r="I2" s="222"/>
      <c r="J2" s="222"/>
      <c r="K2" s="222"/>
      <c r="L2" s="224"/>
      <c r="M2" s="222"/>
    </row>
    <row r="3" spans="1:38" ht="15" customHeight="1" thickBot="1" x14ac:dyDescent="0.3">
      <c r="A3" s="225"/>
      <c r="B3" s="226"/>
      <c r="C3" s="922" t="s">
        <v>238</v>
      </c>
      <c r="D3" s="922"/>
      <c r="E3" s="922"/>
      <c r="F3" s="922"/>
      <c r="G3" s="227"/>
      <c r="H3" s="922" t="s">
        <v>239</v>
      </c>
      <c r="I3" s="922"/>
      <c r="J3" s="922"/>
      <c r="K3" s="922"/>
      <c r="L3" s="224"/>
      <c r="M3" s="222"/>
    </row>
    <row r="4" spans="1:38" ht="15" customHeight="1" x14ac:dyDescent="0.25">
      <c r="A4" s="228"/>
      <c r="B4" s="229"/>
      <c r="C4" s="230" t="s">
        <v>9</v>
      </c>
      <c r="D4" s="230" t="s">
        <v>99</v>
      </c>
      <c r="E4" s="230" t="s">
        <v>100</v>
      </c>
      <c r="F4" s="230" t="s">
        <v>101</v>
      </c>
      <c r="G4" s="231"/>
      <c r="H4" s="230" t="s">
        <v>9</v>
      </c>
      <c r="I4" s="230" t="s">
        <v>99</v>
      </c>
      <c r="J4" s="230" t="s">
        <v>100</v>
      </c>
      <c r="K4" s="230" t="s">
        <v>101</v>
      </c>
      <c r="L4" s="232"/>
      <c r="M4" s="230" t="s">
        <v>14</v>
      </c>
    </row>
    <row r="5" spans="1:38" x14ac:dyDescent="0.25">
      <c r="A5" s="526" t="s">
        <v>240</v>
      </c>
      <c r="B5" s="233"/>
      <c r="C5" s="527" t="str">
        <f>IF(Calculations!C218=0,"NA",Calculations!C218)</f>
        <v>NA</v>
      </c>
      <c r="D5" s="527" t="str">
        <f>IF(Calculations!D218=0,"NA",Calculations!D218)</f>
        <v>NA</v>
      </c>
      <c r="E5" s="527" t="str">
        <f>IF(Calculations!E218=0,"NA",Calculations!E218)</f>
        <v>NA</v>
      </c>
      <c r="F5" s="527" t="str">
        <f>IF(Calculations!F218=0,"NA",Calculations!F218)</f>
        <v>NA</v>
      </c>
      <c r="G5" s="234"/>
      <c r="H5" s="527" t="str">
        <f>IF(Calculations!C223=0,"NA",Calculations!C223)</f>
        <v>NA</v>
      </c>
      <c r="I5" s="527" t="str">
        <f>IF(Calculations!D223=0,"NA",Calculations!D223)</f>
        <v>NA</v>
      </c>
      <c r="J5" s="527" t="str">
        <f>IF(Calculations!E223=0,"NA",Calculations!E223)</f>
        <v>NA</v>
      </c>
      <c r="K5" s="527" t="str">
        <f>IF(Calculations!F223=0,"NA",Calculations!F223)</f>
        <v>NA</v>
      </c>
      <c r="L5" s="232"/>
      <c r="M5" s="528" t="s">
        <v>143</v>
      </c>
    </row>
    <row r="6" spans="1:38" x14ac:dyDescent="0.25">
      <c r="A6" s="526" t="s">
        <v>240</v>
      </c>
      <c r="B6" s="233"/>
      <c r="C6" s="527" t="e">
        <f>C5/365</f>
        <v>#VALUE!</v>
      </c>
      <c r="D6" s="527" t="e">
        <f>D5/365</f>
        <v>#VALUE!</v>
      </c>
      <c r="E6" s="527" t="e">
        <f t="shared" ref="E6:F6" si="0">E5/365</f>
        <v>#VALUE!</v>
      </c>
      <c r="F6" s="527" t="e">
        <f t="shared" si="0"/>
        <v>#VALUE!</v>
      </c>
      <c r="G6" s="234"/>
      <c r="H6" s="527" t="e">
        <f>H5/365</f>
        <v>#VALUE!</v>
      </c>
      <c r="I6" s="527" t="e">
        <f t="shared" ref="I6:K6" si="1">I5/365</f>
        <v>#VALUE!</v>
      </c>
      <c r="J6" s="527" t="e">
        <f t="shared" si="1"/>
        <v>#VALUE!</v>
      </c>
      <c r="K6" s="527" t="e">
        <f t="shared" si="1"/>
        <v>#VALUE!</v>
      </c>
      <c r="L6" s="232"/>
      <c r="M6" s="528" t="s">
        <v>42</v>
      </c>
    </row>
    <row r="7" spans="1:38" ht="3.95" customHeight="1" x14ac:dyDescent="0.25">
      <c r="A7" s="235"/>
      <c r="B7" s="236"/>
      <c r="C7" s="237"/>
      <c r="D7" s="237"/>
      <c r="E7" s="237"/>
      <c r="F7" s="237"/>
      <c r="G7" s="238"/>
      <c r="H7" s="237"/>
      <c r="I7" s="237"/>
      <c r="J7" s="237"/>
      <c r="K7" s="237"/>
      <c r="L7" s="232"/>
      <c r="M7" s="222"/>
    </row>
    <row r="8" spans="1:38" x14ac:dyDescent="0.25">
      <c r="A8" s="521" t="s">
        <v>241</v>
      </c>
      <c r="B8" s="239"/>
      <c r="C8" s="529" t="e">
        <f>IF(Calculations!C185+Calculations!C193=0,"NA",Calculations!C185+Calculations!C193)</f>
        <v>#N/A</v>
      </c>
      <c r="D8" s="529" t="str">
        <f>IF(Calculations!D185+Calculations!D193=0,"NA",Calculations!D185+Calculations!D193)</f>
        <v>NA</v>
      </c>
      <c r="E8" s="529" t="str">
        <f>IF(Calculations!E185+Calculations!E193=0,"NA",Calculations!E185+Calculations!E193)</f>
        <v>NA</v>
      </c>
      <c r="F8" s="529" t="str">
        <f>IF(Calculations!F185+Calculations!F193=0,"NA",Calculations!F185+Calculations!F193)</f>
        <v>NA</v>
      </c>
      <c r="G8" s="240"/>
      <c r="H8" s="529" t="e">
        <f>IF(Calculations!C190+Calculations!C198=0,"NA",Calculations!C190+Calculations!C198)</f>
        <v>#N/A</v>
      </c>
      <c r="I8" s="529" t="str">
        <f>IF(Calculations!D190+Calculations!D198=0,"NA",Calculations!D190+Calculations!D198)</f>
        <v>NA</v>
      </c>
      <c r="J8" s="529" t="str">
        <f>IF(Calculations!E190+Calculations!E198=0,"NA",Calculations!E190+Calculations!E198)</f>
        <v>NA</v>
      </c>
      <c r="K8" s="529" t="str">
        <f>IF(Calculations!F190+Calculations!F198=0,"NA",Calculations!F190+Calculations!F198)</f>
        <v>NA</v>
      </c>
      <c r="L8" s="232"/>
      <c r="M8" s="529" t="s">
        <v>143</v>
      </c>
    </row>
    <row r="9" spans="1:38" x14ac:dyDescent="0.25">
      <c r="A9" s="521" t="s">
        <v>241</v>
      </c>
      <c r="B9" s="239"/>
      <c r="C9" s="530" t="str">
        <f>IFERROR(C8/C5,"NA")</f>
        <v>NA</v>
      </c>
      <c r="D9" s="530" t="str">
        <f>IFERROR(D8/D5,"NA")</f>
        <v>NA</v>
      </c>
      <c r="E9" s="530" t="str">
        <f t="shared" ref="E9:F9" si="2">IFERROR(E8/E5,"NA")</f>
        <v>NA</v>
      </c>
      <c r="F9" s="530" t="str">
        <f t="shared" si="2"/>
        <v>NA</v>
      </c>
      <c r="G9" s="241"/>
      <c r="H9" s="530" t="str">
        <f>IFERROR(H8/H5,"NA")</f>
        <v>NA</v>
      </c>
      <c r="I9" s="530" t="str">
        <f t="shared" ref="I9:K9" si="3">IFERROR(I8/I5,"NA")</f>
        <v>NA</v>
      </c>
      <c r="J9" s="530" t="str">
        <f t="shared" si="3"/>
        <v>NA</v>
      </c>
      <c r="K9" s="530" t="str">
        <f t="shared" si="3"/>
        <v>NA</v>
      </c>
      <c r="L9" s="232"/>
      <c r="M9" s="529" t="s">
        <v>242</v>
      </c>
    </row>
    <row r="10" spans="1:38" ht="3.95" customHeight="1" x14ac:dyDescent="0.25">
      <c r="A10" s="242"/>
      <c r="B10" s="243"/>
      <c r="C10" s="244"/>
      <c r="D10" s="244"/>
      <c r="E10" s="244"/>
      <c r="F10" s="244"/>
      <c r="G10" s="245"/>
      <c r="H10" s="244"/>
      <c r="I10" s="244"/>
      <c r="J10" s="244"/>
      <c r="K10" s="244"/>
      <c r="L10" s="232"/>
      <c r="M10" s="222"/>
    </row>
    <row r="11" spans="1:38" x14ac:dyDescent="0.25">
      <c r="A11" s="531" t="s">
        <v>166</v>
      </c>
      <c r="B11" s="246"/>
      <c r="C11" s="532" t="e">
        <f>IF(Calculations!C227=0,"NA",Calculations!C227)</f>
        <v>#N/A</v>
      </c>
      <c r="D11" s="532" t="str">
        <f>IF(Calculations!D227=0,"NA",Calculations!D227)</f>
        <v>NA</v>
      </c>
      <c r="E11" s="532" t="str">
        <f>IF(Calculations!E227=0,"NA",Calculations!E227)</f>
        <v>NA</v>
      </c>
      <c r="F11" s="532" t="str">
        <f>IF(Calculations!F227=0,"NA",Calculations!F227)</f>
        <v>NA</v>
      </c>
      <c r="G11" s="247"/>
      <c r="H11" s="532" t="e">
        <f>IF(Calculations!C232=0,"NA",Calculations!C232)</f>
        <v>#N/A</v>
      </c>
      <c r="I11" s="532" t="str">
        <f>IF(Calculations!D232=0,"NA",Calculations!D232)</f>
        <v>NA</v>
      </c>
      <c r="J11" s="532" t="str">
        <f>IF(Calculations!E232=0,"NA",Calculations!E232)</f>
        <v>NA</v>
      </c>
      <c r="K11" s="532" t="str">
        <f>IF(Calculations!F232=0,"NA",Calculations!F232)</f>
        <v>NA</v>
      </c>
      <c r="L11" s="232"/>
      <c r="M11" s="531" t="s">
        <v>143</v>
      </c>
      <c r="V11" s="146"/>
      <c r="W11" s="146"/>
      <c r="X11" s="146"/>
      <c r="Y11" s="146"/>
      <c r="Z11" s="146"/>
      <c r="AA11" s="146"/>
      <c r="AB11" s="146"/>
      <c r="AC11" s="146"/>
      <c r="AD11" s="146"/>
      <c r="AE11" s="146"/>
      <c r="AF11" s="146"/>
      <c r="AG11" s="146"/>
      <c r="AH11" s="146"/>
      <c r="AI11" s="146"/>
      <c r="AJ11" s="146"/>
      <c r="AK11" s="146"/>
      <c r="AL11" s="146"/>
    </row>
    <row r="12" spans="1:38" x14ac:dyDescent="0.25">
      <c r="A12" s="531" t="s">
        <v>166</v>
      </c>
      <c r="B12" s="246"/>
      <c r="C12" s="515" t="str">
        <f>IFERROR(C11/C5,"NA")</f>
        <v>NA</v>
      </c>
      <c r="D12" s="515" t="str">
        <f>IFERROR(D11/D5,"NA")</f>
        <v>NA</v>
      </c>
      <c r="E12" s="515" t="str">
        <f t="shared" ref="E12:F12" si="4">IFERROR(E11/E5,"NA")</f>
        <v>NA</v>
      </c>
      <c r="F12" s="515" t="str">
        <f t="shared" si="4"/>
        <v>NA</v>
      </c>
      <c r="G12" s="247"/>
      <c r="H12" s="515" t="str">
        <f>IFERROR(H11/H5,"NA")</f>
        <v>NA</v>
      </c>
      <c r="I12" s="515" t="str">
        <f t="shared" ref="I12:K12" si="5">IFERROR(I11/I5,"NA")</f>
        <v>NA</v>
      </c>
      <c r="J12" s="515" t="str">
        <f t="shared" si="5"/>
        <v>NA</v>
      </c>
      <c r="K12" s="515" t="str">
        <f t="shared" si="5"/>
        <v>NA</v>
      </c>
      <c r="L12" s="232"/>
      <c r="M12" s="531" t="s">
        <v>242</v>
      </c>
      <c r="V12" s="146"/>
      <c r="W12" s="146"/>
      <c r="X12" s="146"/>
      <c r="Y12" s="146"/>
      <c r="Z12" s="146"/>
      <c r="AA12" s="146"/>
      <c r="AB12" s="146"/>
      <c r="AC12" s="146"/>
      <c r="AD12" s="146"/>
      <c r="AE12" s="146"/>
      <c r="AF12" s="146"/>
      <c r="AG12" s="146"/>
      <c r="AH12" s="146"/>
      <c r="AI12" s="146"/>
      <c r="AJ12" s="146"/>
      <c r="AK12" s="146"/>
      <c r="AL12" s="146"/>
    </row>
    <row r="13" spans="1:38" ht="3.95" customHeight="1" x14ac:dyDescent="0.25">
      <c r="A13" s="235"/>
      <c r="B13" s="236"/>
      <c r="C13" s="237"/>
      <c r="D13" s="237"/>
      <c r="E13" s="237"/>
      <c r="F13" s="237"/>
      <c r="G13" s="238"/>
      <c r="H13" s="237"/>
      <c r="I13" s="237"/>
      <c r="J13" s="237"/>
      <c r="K13" s="237"/>
      <c r="L13" s="232"/>
      <c r="M13" s="222"/>
      <c r="V13" s="146"/>
      <c r="W13" s="146"/>
      <c r="X13" s="146"/>
      <c r="Y13" s="146"/>
      <c r="Z13" s="146"/>
      <c r="AA13" s="146"/>
      <c r="AB13" s="146"/>
      <c r="AC13" s="146"/>
      <c r="AD13" s="146"/>
      <c r="AE13" s="146"/>
      <c r="AF13" s="146"/>
      <c r="AG13" s="146"/>
      <c r="AH13" s="146"/>
      <c r="AI13" s="146"/>
      <c r="AJ13" s="146"/>
      <c r="AK13" s="146"/>
      <c r="AL13" s="146"/>
    </row>
    <row r="14" spans="1:38" ht="23.25" x14ac:dyDescent="0.25">
      <c r="A14" s="535" t="s">
        <v>332</v>
      </c>
      <c r="B14" s="248"/>
      <c r="C14" s="536">
        <f>IFERROR(Calculations!C136+Calculations!C120,"NA")</f>
        <v>0</v>
      </c>
      <c r="D14" s="536" t="str">
        <f>IFERROR(Calculations!D136+Calculations!D120,"NA")</f>
        <v>NA</v>
      </c>
      <c r="E14" s="536" t="str">
        <f>IFERROR(Calculations!E136+Calculations!E120,"NA")</f>
        <v>NA</v>
      </c>
      <c r="F14" s="536" t="str">
        <f>IFERROR(Calculations!F136+Calculations!F120,"NA")</f>
        <v>NA</v>
      </c>
      <c r="G14" s="249"/>
      <c r="H14" s="536">
        <f>IFERROR(Calculations!C141+Calculations!C125,"NA")</f>
        <v>0</v>
      </c>
      <c r="I14" s="536" t="str">
        <f>IFERROR(Calculations!D141+Calculations!D125,"NA")</f>
        <v>NA</v>
      </c>
      <c r="J14" s="536" t="str">
        <f>IFERROR(Calculations!E141+Calculations!E125,"NA")</f>
        <v>NA</v>
      </c>
      <c r="K14" s="536" t="str">
        <f>IFERROR(Calculations!F141+Calculations!F125,"NA")</f>
        <v>NA</v>
      </c>
      <c r="L14" s="232"/>
      <c r="M14" s="538" t="s">
        <v>143</v>
      </c>
      <c r="V14" s="146"/>
      <c r="W14" s="146"/>
      <c r="X14" s="146"/>
      <c r="Y14" s="146"/>
      <c r="Z14" s="146"/>
      <c r="AA14" s="146"/>
      <c r="AB14" s="146"/>
      <c r="AC14" s="146"/>
      <c r="AD14" s="146"/>
      <c r="AE14" s="146"/>
      <c r="AF14" s="146"/>
      <c r="AG14" s="146"/>
      <c r="AH14" s="146"/>
      <c r="AI14" s="146"/>
      <c r="AJ14" s="146"/>
      <c r="AK14" s="146"/>
      <c r="AL14" s="146"/>
    </row>
    <row r="15" spans="1:38" ht="23.25" x14ac:dyDescent="0.25">
      <c r="A15" s="535" t="s">
        <v>331</v>
      </c>
      <c r="B15" s="248"/>
      <c r="C15" s="537" t="str">
        <f>IFERROR(C14/C5,"NA")</f>
        <v>NA</v>
      </c>
      <c r="D15" s="537" t="str">
        <f>IFERROR(D14/D5,"NA")</f>
        <v>NA</v>
      </c>
      <c r="E15" s="537" t="str">
        <f>IFERROR(E14/E5,"NA")</f>
        <v>NA</v>
      </c>
      <c r="F15" s="537" t="str">
        <f>IFERROR(F14/F5,"NA")</f>
        <v>NA</v>
      </c>
      <c r="G15" s="250"/>
      <c r="H15" s="537" t="str">
        <f>IFERROR(H14/H5,"NA")</f>
        <v>NA</v>
      </c>
      <c r="I15" s="537" t="str">
        <f>IFERROR(I14/I5,"NA")</f>
        <v>NA</v>
      </c>
      <c r="J15" s="537" t="str">
        <f>IFERROR(J14/J5,"NA")</f>
        <v>NA</v>
      </c>
      <c r="K15" s="537" t="str">
        <f>IFERROR(K14/K5,"NA")</f>
        <v>NA</v>
      </c>
      <c r="L15" s="232"/>
      <c r="M15" s="538" t="s">
        <v>242</v>
      </c>
      <c r="V15" s="146"/>
      <c r="W15" s="146"/>
      <c r="X15" s="146"/>
      <c r="Y15" s="146"/>
      <c r="Z15" s="146"/>
      <c r="AA15" s="146"/>
      <c r="AB15" s="146"/>
      <c r="AC15" s="146"/>
      <c r="AD15" s="146"/>
      <c r="AE15" s="146"/>
      <c r="AF15" s="146"/>
      <c r="AG15" s="146"/>
      <c r="AH15" s="146"/>
      <c r="AI15" s="146"/>
      <c r="AJ15" s="146"/>
      <c r="AK15" s="146"/>
      <c r="AL15" s="146"/>
    </row>
    <row r="16" spans="1:38" ht="3.95" customHeight="1" x14ac:dyDescent="0.25">
      <c r="A16" s="235"/>
      <c r="B16" s="236"/>
      <c r="C16" s="244"/>
      <c r="D16" s="244"/>
      <c r="E16" s="244"/>
      <c r="F16" s="244"/>
      <c r="G16" s="245"/>
      <c r="H16" s="244"/>
      <c r="I16" s="244"/>
      <c r="J16" s="244"/>
      <c r="K16" s="244"/>
      <c r="L16" s="232"/>
      <c r="M16" s="222"/>
      <c r="V16" s="146"/>
      <c r="W16" s="146"/>
      <c r="X16" s="146"/>
      <c r="Y16" s="146"/>
      <c r="Z16" s="146"/>
      <c r="AA16" s="146"/>
      <c r="AB16" s="146"/>
      <c r="AC16" s="146"/>
      <c r="AD16" s="146"/>
      <c r="AE16" s="146"/>
      <c r="AF16" s="146"/>
      <c r="AG16" s="146"/>
      <c r="AH16" s="146"/>
      <c r="AI16" s="146"/>
      <c r="AJ16" s="146"/>
      <c r="AK16" s="146"/>
      <c r="AL16" s="146"/>
    </row>
    <row r="17" spans="1:38" ht="23.25" x14ac:dyDescent="0.25">
      <c r="A17" s="533" t="s">
        <v>685</v>
      </c>
      <c r="B17" s="251"/>
      <c r="C17" s="534" t="str">
        <f>IFERROR(Calculations!C136/C5,"NA")</f>
        <v>NA</v>
      </c>
      <c r="D17" s="534" t="str">
        <f>IFERROR(Calculations!D136/D5,"NA")</f>
        <v>NA</v>
      </c>
      <c r="E17" s="534" t="str">
        <f>IFERROR(Calculations!E136/E5,"NA")</f>
        <v>NA</v>
      </c>
      <c r="F17" s="534" t="str">
        <f>IFERROR(Calculations!F136/F5,"NA")</f>
        <v>NA</v>
      </c>
      <c r="G17" s="252"/>
      <c r="H17" s="534" t="str">
        <f>IFERROR(Calculations!C141/H5,"NA")</f>
        <v>NA</v>
      </c>
      <c r="I17" s="534" t="str">
        <f>IFERROR(Calculations!D141/I5,"NA")</f>
        <v>NA</v>
      </c>
      <c r="J17" s="534" t="str">
        <f>IFERROR(Calculations!E141/J5,"NA")</f>
        <v>NA</v>
      </c>
      <c r="K17" s="534" t="str">
        <f>IFERROR(Calculations!F141/K5,"NA")</f>
        <v>NA</v>
      </c>
      <c r="L17" s="232"/>
      <c r="M17" s="534" t="s">
        <v>242</v>
      </c>
      <c r="V17" s="146"/>
      <c r="W17" s="146"/>
      <c r="X17" s="542"/>
      <c r="Y17" s="542"/>
      <c r="Z17" s="542"/>
      <c r="AA17" s="542"/>
      <c r="AB17" s="542"/>
      <c r="AC17" s="542"/>
      <c r="AD17" s="542"/>
      <c r="AE17" s="542"/>
      <c r="AF17" s="542"/>
      <c r="AG17" s="542"/>
      <c r="AH17" s="146"/>
      <c r="AI17" s="146"/>
      <c r="AJ17" s="146"/>
      <c r="AK17" s="146"/>
      <c r="AL17" s="146"/>
    </row>
    <row r="18" spans="1:38" ht="23.25" x14ac:dyDescent="0.25">
      <c r="A18" s="533" t="s">
        <v>330</v>
      </c>
      <c r="B18" s="253"/>
      <c r="C18" s="534" t="str">
        <f>IFERROR(Calculations!C120/C5,"NA")</f>
        <v>NA</v>
      </c>
      <c r="D18" s="534" t="str">
        <f>IFERROR(Calculations!D120/D5,"NA")</f>
        <v>NA</v>
      </c>
      <c r="E18" s="534" t="str">
        <f>IFERROR(Calculations!E120/E5,"NA")</f>
        <v>NA</v>
      </c>
      <c r="F18" s="534" t="str">
        <f>IFERROR(Calculations!F120/F5,"NA")</f>
        <v>NA</v>
      </c>
      <c r="G18" s="254"/>
      <c r="H18" s="534" t="str">
        <f>IFERROR(Calculations!C125/H5,"NA")</f>
        <v>NA</v>
      </c>
      <c r="I18" s="534" t="str">
        <f>IFERROR(Calculations!D125/I5,"NA")</f>
        <v>NA</v>
      </c>
      <c r="J18" s="534" t="str">
        <f>IFERROR(Calculations!E125/J5,"NA")</f>
        <v>NA</v>
      </c>
      <c r="K18" s="534" t="str">
        <f>IFERROR(Calculations!F125/K5,"NA")</f>
        <v>NA</v>
      </c>
      <c r="L18" s="232"/>
      <c r="M18" s="534" t="s">
        <v>242</v>
      </c>
      <c r="V18" s="146"/>
      <c r="W18" s="146"/>
      <c r="X18" s="542"/>
      <c r="Y18" s="542"/>
      <c r="Z18" s="542"/>
      <c r="AA18" s="542"/>
      <c r="AB18" s="542"/>
      <c r="AC18" s="542"/>
      <c r="AD18" s="542"/>
      <c r="AE18" s="542"/>
      <c r="AF18" s="542"/>
      <c r="AG18" s="542"/>
      <c r="AH18" s="146"/>
      <c r="AI18" s="146"/>
      <c r="AJ18" s="146"/>
      <c r="AK18" s="146"/>
      <c r="AL18" s="146"/>
    </row>
    <row r="19" spans="1:38" ht="3.95" customHeight="1" x14ac:dyDescent="0.25">
      <c r="A19" s="235"/>
      <c r="B19" s="271"/>
      <c r="C19" s="235"/>
      <c r="D19" s="235"/>
      <c r="E19" s="235"/>
      <c r="F19" s="235"/>
      <c r="G19" s="271"/>
      <c r="H19" s="235"/>
      <c r="I19" s="235"/>
      <c r="J19" s="235"/>
      <c r="K19" s="235"/>
      <c r="L19" s="235"/>
      <c r="M19" s="235"/>
      <c r="V19" s="146"/>
      <c r="W19" s="146"/>
      <c r="X19" s="542"/>
      <c r="Y19" s="542"/>
      <c r="Z19" s="542"/>
      <c r="AA19" s="542"/>
      <c r="AB19" s="542"/>
      <c r="AC19" s="542"/>
      <c r="AD19" s="542"/>
      <c r="AE19" s="542"/>
      <c r="AF19" s="542"/>
      <c r="AG19" s="542"/>
      <c r="AH19" s="146"/>
      <c r="AI19" s="146"/>
      <c r="AJ19" s="146"/>
      <c r="AK19" s="146"/>
      <c r="AL19" s="146"/>
    </row>
    <row r="20" spans="1:38" x14ac:dyDescent="0.25">
      <c r="A20" s="522" t="s">
        <v>151</v>
      </c>
      <c r="B20" s="253"/>
      <c r="C20" s="523">
        <f>IFERROR(Calculations!C104,"NA")</f>
        <v>0</v>
      </c>
      <c r="D20" s="523">
        <f>IFERROR(Calculations!D104,"NA")</f>
        <v>0</v>
      </c>
      <c r="E20" s="523">
        <f>IFERROR(Calculations!E104,"NA")</f>
        <v>0</v>
      </c>
      <c r="F20" s="523">
        <f>IFERROR(Calculations!F104,"NA")</f>
        <v>0</v>
      </c>
      <c r="G20" s="254"/>
      <c r="H20" s="523">
        <f>IFERROR(Calculations!C109,"NA")</f>
        <v>0</v>
      </c>
      <c r="I20" s="523">
        <f>IFERROR(Calculations!D109,"NA")</f>
        <v>0</v>
      </c>
      <c r="J20" s="523">
        <f>IFERROR(Calculations!E109,"NA")</f>
        <v>0</v>
      </c>
      <c r="K20" s="523">
        <f>IFERROR(Calculations!F109,"NA")</f>
        <v>0</v>
      </c>
      <c r="L20" s="232"/>
      <c r="M20" s="525" t="s">
        <v>143</v>
      </c>
      <c r="V20" s="146"/>
      <c r="W20" s="146"/>
      <c r="X20" s="542"/>
      <c r="Y20" s="542"/>
      <c r="Z20" s="542"/>
      <c r="AA20" s="542"/>
      <c r="AB20" s="542"/>
      <c r="AC20" s="542"/>
      <c r="AD20" s="542"/>
      <c r="AE20" s="542"/>
      <c r="AF20" s="542"/>
      <c r="AG20" s="542"/>
      <c r="AH20" s="146"/>
      <c r="AI20" s="146"/>
      <c r="AJ20" s="146"/>
      <c r="AK20" s="146"/>
      <c r="AL20" s="146"/>
    </row>
    <row r="21" spans="1:38" x14ac:dyDescent="0.25">
      <c r="A21" s="522" t="s">
        <v>151</v>
      </c>
      <c r="B21" s="246"/>
      <c r="C21" s="524" t="str">
        <f>IFERROR(Calculations!C104/C5,"NA")</f>
        <v>NA</v>
      </c>
      <c r="D21" s="524" t="str">
        <f>IFERROR(Calculations!D104/D5,"NA")</f>
        <v>NA</v>
      </c>
      <c r="E21" s="524" t="str">
        <f>IFERROR(Calculations!E104/E5,"NA")</f>
        <v>NA</v>
      </c>
      <c r="F21" s="524" t="str">
        <f>IFERROR(Calculations!F104/F5,"NA")</f>
        <v>NA</v>
      </c>
      <c r="G21" s="252"/>
      <c r="H21" s="524" t="str">
        <f>IFERROR(Calculations!C109/H5,"NA")</f>
        <v>NA</v>
      </c>
      <c r="I21" s="524" t="str">
        <f>IFERROR(Calculations!D109/I5,"NA")</f>
        <v>NA</v>
      </c>
      <c r="J21" s="524" t="str">
        <f>IFERROR(Calculations!E109/J5,"NA")</f>
        <v>NA</v>
      </c>
      <c r="K21" s="524" t="str">
        <f>IFERROR(Calculations!F109/K5,"NA")</f>
        <v>NA</v>
      </c>
      <c r="L21" s="232"/>
      <c r="M21" s="525" t="s">
        <v>242</v>
      </c>
      <c r="V21" s="146"/>
      <c r="W21" s="146"/>
      <c r="X21" s="542"/>
      <c r="Y21" s="542"/>
      <c r="Z21" s="542"/>
      <c r="AA21" s="542"/>
      <c r="AB21" s="542"/>
      <c r="AC21" s="542"/>
      <c r="AD21" s="542"/>
      <c r="AE21" s="542"/>
      <c r="AF21" s="542"/>
      <c r="AG21" s="542"/>
      <c r="AH21" s="146"/>
      <c r="AI21" s="146"/>
      <c r="AJ21" s="146"/>
      <c r="AK21" s="146"/>
      <c r="AL21" s="146"/>
    </row>
    <row r="22" spans="1:38" ht="3.95" customHeight="1" x14ac:dyDescent="0.25">
      <c r="A22" s="242"/>
      <c r="B22" s="236"/>
      <c r="C22" s="255"/>
      <c r="D22" s="255"/>
      <c r="E22" s="255"/>
      <c r="F22" s="255"/>
      <c r="G22" s="256"/>
      <c r="H22" s="255"/>
      <c r="I22" s="255"/>
      <c r="J22" s="255"/>
      <c r="K22" s="255"/>
      <c r="L22" s="232"/>
      <c r="M22" s="222"/>
      <c r="V22" s="146"/>
      <c r="W22" s="146"/>
      <c r="X22" s="542"/>
      <c r="Y22" s="542"/>
      <c r="Z22" s="542"/>
      <c r="AA22" s="542"/>
      <c r="AB22" s="542"/>
      <c r="AC22" s="542"/>
      <c r="AD22" s="542"/>
      <c r="AE22" s="542"/>
      <c r="AF22" s="542"/>
      <c r="AG22" s="542"/>
      <c r="AH22" s="146"/>
      <c r="AI22" s="146"/>
      <c r="AJ22" s="146"/>
      <c r="AK22" s="146"/>
      <c r="AL22" s="146"/>
    </row>
    <row r="23" spans="1:38" x14ac:dyDescent="0.25">
      <c r="A23" s="539" t="s">
        <v>713</v>
      </c>
      <c r="B23" s="233"/>
      <c r="C23" s="540">
        <f>IFERROR(Calculations!C54,"NA")</f>
        <v>0</v>
      </c>
      <c r="D23" s="540" t="str">
        <f>IFERROR(Calculations!D54,"NA")</f>
        <v>NA</v>
      </c>
      <c r="E23" s="540" t="str">
        <f>IFERROR(Calculations!E54,"NA")</f>
        <v>NA</v>
      </c>
      <c r="F23" s="540" t="str">
        <f>IFERROR(Calculations!F54,"NA")</f>
        <v>NA</v>
      </c>
      <c r="G23" s="257"/>
      <c r="H23" s="540">
        <f>IFERROR(Calculations!C59,"NA")</f>
        <v>0</v>
      </c>
      <c r="I23" s="540" t="str">
        <f>IFERROR(Calculations!D59,"NA")</f>
        <v>NA</v>
      </c>
      <c r="J23" s="540" t="str">
        <f>IFERROR(Calculations!E59,"NA")</f>
        <v>NA</v>
      </c>
      <c r="K23" s="540" t="str">
        <f>IFERROR(Calculations!F59,"NA")</f>
        <v>NA</v>
      </c>
      <c r="L23" s="232"/>
      <c r="M23" s="539" t="s">
        <v>143</v>
      </c>
      <c r="V23" s="146"/>
      <c r="W23" s="146"/>
      <c r="X23" s="542"/>
      <c r="Y23" s="542"/>
      <c r="Z23" s="542"/>
      <c r="AA23" s="542"/>
      <c r="AB23" s="542"/>
      <c r="AC23" s="542"/>
      <c r="AD23" s="542"/>
      <c r="AE23" s="542"/>
      <c r="AF23" s="542"/>
      <c r="AG23" s="542"/>
      <c r="AH23" s="146"/>
      <c r="AI23" s="146"/>
      <c r="AJ23" s="146"/>
      <c r="AK23" s="146"/>
      <c r="AL23" s="146"/>
    </row>
    <row r="24" spans="1:38" x14ac:dyDescent="0.25">
      <c r="A24" s="539" t="s">
        <v>713</v>
      </c>
      <c r="B24" s="233"/>
      <c r="C24" s="541" t="str">
        <f>IFERROR(C23/C5,"NA")</f>
        <v>NA</v>
      </c>
      <c r="D24" s="541" t="str">
        <f>IFERROR(D23/D5,"NA")</f>
        <v>NA</v>
      </c>
      <c r="E24" s="541" t="str">
        <f>IFERROR(E23/E5,"NA")</f>
        <v>NA</v>
      </c>
      <c r="F24" s="541" t="str">
        <f>IFERROR(F23/F5,"NA")</f>
        <v>NA</v>
      </c>
      <c r="G24" s="241"/>
      <c r="H24" s="541" t="str">
        <f>IFERROR(H23/H5,"NA")</f>
        <v>NA</v>
      </c>
      <c r="I24" s="541" t="str">
        <f>IFERROR(I23/I5,"NA")</f>
        <v>NA</v>
      </c>
      <c r="J24" s="541" t="str">
        <f>IFERROR(J23/J5,"NA")</f>
        <v>NA</v>
      </c>
      <c r="K24" s="541" t="str">
        <f>IFERROR(K23/K5,"NA")</f>
        <v>NA</v>
      </c>
      <c r="L24" s="232"/>
      <c r="M24" s="539" t="s">
        <v>242</v>
      </c>
      <c r="V24" s="146"/>
      <c r="W24" s="146"/>
      <c r="X24" s="542"/>
      <c r="Y24" s="542"/>
      <c r="Z24" s="542"/>
      <c r="AA24" s="542"/>
      <c r="AB24" s="542"/>
      <c r="AC24" s="542"/>
      <c r="AD24" s="542"/>
      <c r="AE24" s="542"/>
      <c r="AF24" s="542"/>
      <c r="AG24" s="542"/>
      <c r="AH24" s="146"/>
      <c r="AI24" s="146"/>
      <c r="AJ24" s="146"/>
      <c r="AK24" s="146"/>
      <c r="AL24" s="146"/>
    </row>
    <row r="25" spans="1:38" ht="3.95" customHeight="1" x14ac:dyDescent="0.25">
      <c r="A25" s="235"/>
      <c r="B25" s="236"/>
      <c r="C25" s="258"/>
      <c r="D25" s="258"/>
      <c r="E25" s="258"/>
      <c r="F25" s="258"/>
      <c r="G25" s="259"/>
      <c r="H25" s="258"/>
      <c r="I25" s="258"/>
      <c r="J25" s="258"/>
      <c r="K25" s="258"/>
      <c r="L25" s="232"/>
      <c r="M25" s="222"/>
      <c r="V25" s="146"/>
      <c r="W25" s="146"/>
      <c r="X25" s="542"/>
      <c r="Y25" s="542"/>
      <c r="Z25" s="542"/>
      <c r="AA25" s="542"/>
      <c r="AB25" s="542"/>
      <c r="AC25" s="542"/>
      <c r="AD25" s="542"/>
      <c r="AE25" s="542"/>
      <c r="AF25" s="542"/>
      <c r="AG25" s="542"/>
      <c r="AH25" s="146"/>
      <c r="AI25" s="146"/>
      <c r="AJ25" s="146"/>
      <c r="AK25" s="146"/>
      <c r="AL25" s="146"/>
    </row>
    <row r="26" spans="1:38" x14ac:dyDescent="0.25">
      <c r="A26" s="412" t="s">
        <v>243</v>
      </c>
      <c r="B26" s="229"/>
      <c r="C26" s="260">
        <f>IFERROR(Calculations!C144+Calculations!C112+Calculations!C78,"NA")</f>
        <v>0</v>
      </c>
      <c r="D26" s="260" t="str">
        <f>IFERROR(Calculations!D144+Calculations!D112+Calculations!D78,"NA")</f>
        <v>NA</v>
      </c>
      <c r="E26" s="260" t="str">
        <f>IFERROR(Calculations!E144+Calculations!E112+Calculations!E78,"NA")</f>
        <v>NA</v>
      </c>
      <c r="F26" s="260" t="str">
        <f>IFERROR(Calculations!F144+Calculations!F112+Calculations!F78,"NA")</f>
        <v>NA</v>
      </c>
      <c r="G26" s="261"/>
      <c r="H26" s="262">
        <f>IFERROR(Calculations!C149+Calculations!C117+Calculations!C83,"NA")</f>
        <v>0</v>
      </c>
      <c r="I26" s="262" t="str">
        <f>IFERROR(Calculations!D149+Calculations!D117+Calculations!D83,"NA")</f>
        <v>NA</v>
      </c>
      <c r="J26" s="262" t="str">
        <f>IFERROR(Calculations!E149+Calculations!E117+Calculations!E83,"NA")</f>
        <v>NA</v>
      </c>
      <c r="K26" s="262" t="str">
        <f>IFERROR(Calculations!F149+Calculations!F117+Calculations!F83,"NA")</f>
        <v>NA</v>
      </c>
      <c r="L26" s="263"/>
      <c r="M26" s="264" t="s">
        <v>143</v>
      </c>
      <c r="N26" s="295"/>
      <c r="O26" s="295"/>
      <c r="P26" s="295"/>
      <c r="V26" s="146"/>
      <c r="W26" s="146"/>
      <c r="X26" s="542"/>
      <c r="Y26" s="542"/>
      <c r="Z26" s="542"/>
      <c r="AA26" s="542"/>
      <c r="AB26" s="542"/>
      <c r="AC26" s="542"/>
      <c r="AD26" s="542"/>
      <c r="AE26" s="542"/>
      <c r="AF26" s="542"/>
      <c r="AG26" s="542"/>
      <c r="AH26" s="146"/>
      <c r="AI26" s="146"/>
      <c r="AJ26" s="146"/>
      <c r="AK26" s="146"/>
      <c r="AL26" s="146"/>
    </row>
    <row r="27" spans="1:38" x14ac:dyDescent="0.25">
      <c r="A27" s="412" t="s">
        <v>243</v>
      </c>
      <c r="B27" s="236"/>
      <c r="C27" s="265">
        <f>IFERROR(C26/C5,0)</f>
        <v>0</v>
      </c>
      <c r="D27" s="265">
        <f>IFERROR(D26/D5,0)</f>
        <v>0</v>
      </c>
      <c r="E27" s="265">
        <f>IFERROR(E26/E5,0)</f>
        <v>0</v>
      </c>
      <c r="F27" s="265">
        <f>IFERROR(F26/F5,0)</f>
        <v>0</v>
      </c>
      <c r="G27" s="261"/>
      <c r="H27" s="265" t="str">
        <f>IFERROR(H26/H5,"NA")</f>
        <v>NA</v>
      </c>
      <c r="I27" s="265" t="str">
        <f>IFERROR(I26/I5,"NA")</f>
        <v>NA</v>
      </c>
      <c r="J27" s="265" t="str">
        <f>IFERROR(J26/J5,"NA")</f>
        <v>NA</v>
      </c>
      <c r="K27" s="265" t="str">
        <f>IFERROR(K26/K5,"NA")</f>
        <v>NA</v>
      </c>
      <c r="L27" s="263"/>
      <c r="M27" s="266" t="s">
        <v>242</v>
      </c>
      <c r="N27" s="295"/>
      <c r="O27" s="295"/>
      <c r="P27" s="295"/>
      <c r="V27" s="146"/>
      <c r="W27" s="146"/>
      <c r="X27" s="542"/>
      <c r="Y27" s="542"/>
      <c r="Z27" s="542"/>
      <c r="AA27" s="542"/>
      <c r="AB27" s="542"/>
      <c r="AC27" s="542"/>
      <c r="AD27" s="542"/>
      <c r="AE27" s="542"/>
      <c r="AF27" s="542"/>
      <c r="AG27" s="542"/>
      <c r="AH27" s="146"/>
      <c r="AI27" s="146"/>
      <c r="AJ27" s="146"/>
      <c r="AK27" s="146"/>
      <c r="AL27" s="146"/>
    </row>
    <row r="28" spans="1:38" ht="15.95" customHeight="1" x14ac:dyDescent="0.25">
      <c r="A28" s="20"/>
      <c r="B28" s="236"/>
      <c r="C28" s="267"/>
      <c r="D28" s="267"/>
      <c r="E28" s="267"/>
      <c r="F28" s="267"/>
      <c r="G28" s="259"/>
      <c r="H28" s="267"/>
      <c r="I28" s="267"/>
      <c r="J28" s="267"/>
      <c r="K28" s="267"/>
      <c r="L28" s="247"/>
      <c r="M28" s="267"/>
      <c r="N28" s="295"/>
      <c r="O28" s="295"/>
      <c r="P28" s="295"/>
      <c r="V28" s="146"/>
      <c r="W28" s="146"/>
      <c r="X28" s="542"/>
      <c r="Y28" s="542"/>
      <c r="Z28" s="542"/>
      <c r="AA28" s="542"/>
      <c r="AB28" s="542"/>
      <c r="AC28" s="542"/>
      <c r="AD28" s="542"/>
      <c r="AE28" s="542"/>
      <c r="AF28" s="542"/>
      <c r="AG28" s="542"/>
      <c r="AH28" s="146"/>
      <c r="AI28" s="146"/>
      <c r="AJ28" s="146"/>
      <c r="AK28" s="146"/>
      <c r="AL28" s="146"/>
    </row>
    <row r="29" spans="1:38" ht="15.95" customHeight="1" x14ac:dyDescent="0.25">
      <c r="A29" s="20"/>
      <c r="B29" s="236"/>
      <c r="C29" s="267"/>
      <c r="D29" s="267"/>
      <c r="E29" s="267"/>
      <c r="F29" s="267"/>
      <c r="G29" s="259"/>
      <c r="H29" s="267"/>
      <c r="I29" s="267"/>
      <c r="J29" s="267"/>
      <c r="K29" s="267"/>
      <c r="L29" s="247"/>
      <c r="M29" s="267"/>
      <c r="N29" s="295"/>
      <c r="O29" s="295"/>
      <c r="P29" s="295"/>
      <c r="V29" s="146"/>
      <c r="W29" s="146"/>
      <c r="X29" s="146"/>
      <c r="Y29" s="146"/>
      <c r="Z29" s="146"/>
      <c r="AA29" s="146"/>
      <c r="AB29" s="146"/>
      <c r="AC29" s="146"/>
      <c r="AD29" s="146"/>
      <c r="AE29" s="146"/>
      <c r="AF29" s="146"/>
      <c r="AG29" s="146"/>
      <c r="AH29" s="146"/>
      <c r="AI29" s="146"/>
      <c r="AJ29" s="146"/>
      <c r="AK29" s="146"/>
      <c r="AL29" s="146"/>
    </row>
    <row r="30" spans="1:38" ht="15.95" customHeight="1" x14ac:dyDescent="0.25">
      <c r="A30" s="20"/>
      <c r="B30" s="236"/>
      <c r="C30" s="267"/>
      <c r="D30" s="267"/>
      <c r="E30" s="267"/>
      <c r="F30" s="267"/>
      <c r="G30" s="259"/>
      <c r="H30" s="267"/>
      <c r="I30" s="267"/>
      <c r="J30" s="267"/>
      <c r="K30" s="267"/>
      <c r="L30" s="247"/>
      <c r="M30" s="267"/>
      <c r="N30" s="295"/>
      <c r="O30" s="295"/>
      <c r="P30" s="295"/>
      <c r="V30" s="146"/>
      <c r="W30" s="146"/>
      <c r="X30" s="146"/>
      <c r="Y30" s="146"/>
      <c r="Z30" s="146"/>
      <c r="AA30" s="146"/>
      <c r="AB30" s="146"/>
      <c r="AC30" s="146"/>
      <c r="AD30" s="146"/>
      <c r="AE30" s="146"/>
      <c r="AF30" s="146"/>
      <c r="AG30" s="146"/>
      <c r="AH30" s="146"/>
      <c r="AI30" s="146"/>
      <c r="AJ30" s="146"/>
      <c r="AK30" s="146"/>
      <c r="AL30" s="146"/>
    </row>
    <row r="31" spans="1:38" ht="15.95" customHeight="1" x14ac:dyDescent="0.25">
      <c r="A31" s="20"/>
      <c r="B31" s="236"/>
      <c r="C31" s="267"/>
      <c r="D31" s="267"/>
      <c r="E31" s="267"/>
      <c r="F31" s="267"/>
      <c r="G31" s="259"/>
      <c r="H31" s="267"/>
      <c r="I31" s="267"/>
      <c r="J31" s="267"/>
      <c r="K31" s="267"/>
      <c r="L31" s="247"/>
      <c r="M31" s="267"/>
      <c r="N31" s="295"/>
      <c r="O31" s="295"/>
      <c r="P31" s="295"/>
      <c r="V31" s="146"/>
      <c r="W31" s="146"/>
      <c r="X31" s="146"/>
      <c r="Y31" s="146"/>
      <c r="Z31" s="146"/>
      <c r="AA31" s="146"/>
      <c r="AB31" s="146"/>
      <c r="AC31" s="146"/>
      <c r="AD31" s="146"/>
      <c r="AE31" s="146"/>
      <c r="AF31" s="146"/>
      <c r="AG31" s="146"/>
      <c r="AH31" s="146"/>
      <c r="AI31" s="146"/>
      <c r="AJ31" s="146"/>
      <c r="AK31" s="146"/>
      <c r="AL31" s="146"/>
    </row>
    <row r="32" spans="1:38" ht="15.95" customHeight="1" x14ac:dyDescent="0.25">
      <c r="A32" s="20"/>
      <c r="B32" s="236"/>
      <c r="C32" s="267"/>
      <c r="D32" s="267"/>
      <c r="E32" s="267"/>
      <c r="F32" s="267"/>
      <c r="G32" s="259"/>
      <c r="H32" s="267"/>
      <c r="I32" s="267"/>
      <c r="J32" s="267"/>
      <c r="K32" s="267"/>
      <c r="L32" s="247"/>
      <c r="M32" s="267"/>
      <c r="N32" s="295"/>
      <c r="O32" s="295"/>
      <c r="P32" s="295"/>
      <c r="V32" s="146"/>
      <c r="W32" s="146"/>
      <c r="X32" s="146"/>
      <c r="Y32" s="146"/>
      <c r="Z32" s="146"/>
      <c r="AA32" s="146"/>
      <c r="AB32" s="146"/>
      <c r="AC32" s="146"/>
      <c r="AD32" s="146"/>
      <c r="AE32" s="146"/>
      <c r="AF32" s="146"/>
      <c r="AG32" s="146"/>
      <c r="AH32" s="146"/>
      <c r="AI32" s="146"/>
      <c r="AJ32" s="146"/>
      <c r="AK32" s="146"/>
      <c r="AL32" s="146"/>
    </row>
    <row r="33" spans="1:38" ht="15.95" customHeight="1" x14ac:dyDescent="0.25">
      <c r="A33" s="20"/>
      <c r="B33" s="236"/>
      <c r="C33" s="267"/>
      <c r="D33" s="267"/>
      <c r="E33" s="267"/>
      <c r="F33" s="267"/>
      <c r="G33" s="259"/>
      <c r="H33" s="267"/>
      <c r="I33" s="267"/>
      <c r="J33" s="267"/>
      <c r="K33" s="267"/>
      <c r="L33" s="247"/>
      <c r="M33" s="267"/>
      <c r="N33" s="295"/>
      <c r="O33" s="295"/>
      <c r="P33" s="295"/>
      <c r="V33" s="146"/>
      <c r="W33" s="146"/>
      <c r="X33" s="146"/>
      <c r="Y33" s="146"/>
      <c r="Z33" s="146"/>
      <c r="AA33" s="146"/>
      <c r="AB33" s="146"/>
      <c r="AC33" s="146"/>
      <c r="AD33" s="146"/>
      <c r="AE33" s="146"/>
      <c r="AF33" s="146"/>
      <c r="AG33" s="146"/>
      <c r="AH33" s="146"/>
      <c r="AI33" s="146"/>
      <c r="AJ33" s="146"/>
      <c r="AK33" s="146"/>
      <c r="AL33" s="146"/>
    </row>
    <row r="34" spans="1:38" ht="15.95" customHeight="1" x14ac:dyDescent="0.25">
      <c r="A34" s="20"/>
      <c r="B34" s="236"/>
      <c r="C34" s="267"/>
      <c r="D34" s="267"/>
      <c r="E34" s="267"/>
      <c r="F34" s="267"/>
      <c r="G34" s="259"/>
      <c r="H34" s="267"/>
      <c r="I34" s="267"/>
      <c r="J34" s="267"/>
      <c r="K34" s="267"/>
      <c r="L34" s="247"/>
      <c r="M34" s="267"/>
      <c r="N34" s="295"/>
      <c r="O34" s="295"/>
      <c r="P34" s="295"/>
      <c r="V34" s="146"/>
      <c r="W34" s="146"/>
      <c r="X34" s="146"/>
      <c r="Y34" s="146"/>
      <c r="Z34" s="146"/>
      <c r="AA34" s="146"/>
      <c r="AB34" s="146"/>
      <c r="AC34" s="146"/>
      <c r="AD34" s="146"/>
      <c r="AE34" s="146"/>
      <c r="AF34" s="146"/>
      <c r="AG34" s="146"/>
      <c r="AH34" s="146"/>
      <c r="AI34" s="146"/>
      <c r="AJ34" s="146"/>
      <c r="AK34" s="146"/>
      <c r="AL34" s="146"/>
    </row>
    <row r="35" spans="1:38" ht="15.95" customHeight="1" x14ac:dyDescent="0.25">
      <c r="A35" s="20"/>
      <c r="B35" s="236"/>
      <c r="C35" s="267"/>
      <c r="D35" s="267"/>
      <c r="E35" s="267"/>
      <c r="F35" s="267"/>
      <c r="G35" s="259"/>
      <c r="H35" s="267"/>
      <c r="I35" s="267"/>
      <c r="J35" s="267"/>
      <c r="K35" s="267"/>
      <c r="L35" s="247"/>
      <c r="M35" s="267"/>
      <c r="N35" s="295"/>
      <c r="O35" s="295"/>
      <c r="P35" s="295"/>
      <c r="V35" s="146"/>
      <c r="W35" s="146"/>
      <c r="X35" s="146"/>
      <c r="Y35" s="146"/>
      <c r="Z35" s="146"/>
      <c r="AA35" s="146"/>
      <c r="AB35" s="146"/>
      <c r="AC35" s="146"/>
      <c r="AD35" s="146"/>
      <c r="AE35" s="146"/>
      <c r="AF35" s="146"/>
      <c r="AG35" s="146"/>
      <c r="AH35" s="146"/>
      <c r="AI35" s="146"/>
      <c r="AJ35" s="146"/>
      <c r="AK35" s="146"/>
      <c r="AL35" s="146"/>
    </row>
    <row r="36" spans="1:38" ht="15.95" customHeight="1" x14ac:dyDescent="0.25">
      <c r="A36" s="20"/>
      <c r="B36" s="236"/>
      <c r="C36" s="267"/>
      <c r="D36" s="267"/>
      <c r="E36" s="267"/>
      <c r="F36" s="267"/>
      <c r="G36" s="259"/>
      <c r="H36" s="267"/>
      <c r="I36" s="267"/>
      <c r="J36" s="267"/>
      <c r="K36" s="267"/>
      <c r="L36" s="247"/>
      <c r="M36" s="267"/>
      <c r="N36" s="295"/>
      <c r="O36" s="295"/>
      <c r="P36" s="295"/>
      <c r="V36" s="146"/>
      <c r="W36" s="146"/>
      <c r="X36" s="146"/>
      <c r="Y36" s="146"/>
      <c r="Z36" s="146"/>
      <c r="AA36" s="146"/>
      <c r="AB36" s="146"/>
      <c r="AC36" s="146"/>
      <c r="AD36" s="146"/>
      <c r="AE36" s="146"/>
      <c r="AF36" s="146"/>
      <c r="AG36" s="146"/>
      <c r="AH36" s="146"/>
      <c r="AI36" s="146"/>
      <c r="AJ36" s="146"/>
      <c r="AK36" s="146"/>
      <c r="AL36" s="146"/>
    </row>
    <row r="37" spans="1:38" ht="15.95" customHeight="1" x14ac:dyDescent="0.25">
      <c r="A37" s="20"/>
      <c r="B37" s="236"/>
      <c r="C37" s="267"/>
      <c r="D37" s="267"/>
      <c r="E37" s="267"/>
      <c r="F37" s="267"/>
      <c r="G37" s="259"/>
      <c r="H37" s="267"/>
      <c r="I37" s="267"/>
      <c r="J37" s="267"/>
      <c r="K37" s="267"/>
      <c r="L37" s="247"/>
      <c r="M37" s="267"/>
      <c r="N37" s="295"/>
      <c r="O37" s="295"/>
      <c r="P37" s="295"/>
      <c r="V37" s="146"/>
      <c r="W37" s="146"/>
      <c r="X37" s="146"/>
      <c r="Y37" s="146"/>
      <c r="Z37" s="146"/>
      <c r="AA37" s="146"/>
      <c r="AB37" s="146"/>
      <c r="AC37" s="146"/>
      <c r="AD37" s="146"/>
      <c r="AE37" s="146"/>
      <c r="AF37" s="146"/>
      <c r="AG37" s="146"/>
      <c r="AH37" s="146"/>
      <c r="AI37" s="146"/>
      <c r="AJ37" s="146"/>
      <c r="AK37" s="146"/>
      <c r="AL37" s="146"/>
    </row>
    <row r="38" spans="1:38" x14ac:dyDescent="0.25">
      <c r="A38" s="638"/>
      <c r="B38" s="236"/>
      <c r="C38" s="222"/>
      <c r="D38" s="222"/>
      <c r="E38" s="222"/>
      <c r="F38" s="222"/>
      <c r="G38" s="227"/>
      <c r="H38" s="268"/>
      <c r="I38" s="268"/>
      <c r="J38" s="268"/>
      <c r="K38" s="268"/>
      <c r="L38" s="224"/>
      <c r="M38" s="222"/>
      <c r="N38" s="295"/>
      <c r="O38" s="295"/>
      <c r="P38" s="295"/>
      <c r="V38" s="146"/>
      <c r="W38" s="146"/>
      <c r="X38" s="146"/>
      <c r="Y38" s="146"/>
      <c r="Z38" s="146"/>
      <c r="AA38" s="146"/>
      <c r="AB38" s="146"/>
      <c r="AC38" s="146"/>
      <c r="AD38" s="146"/>
      <c r="AE38" s="146"/>
      <c r="AF38" s="146"/>
      <c r="AG38" s="146"/>
      <c r="AH38" s="146"/>
      <c r="AI38" s="146"/>
      <c r="AJ38" s="146"/>
      <c r="AK38" s="146"/>
      <c r="AL38" s="146"/>
    </row>
    <row r="39" spans="1:38" ht="18.75" x14ac:dyDescent="0.25">
      <c r="A39" s="20" t="s">
        <v>296</v>
      </c>
      <c r="B39" s="513"/>
      <c r="C39" s="20"/>
      <c r="D39" s="20"/>
      <c r="E39" s="20"/>
      <c r="F39" s="20"/>
      <c r="G39" s="513"/>
      <c r="H39" s="20"/>
      <c r="I39" s="15"/>
      <c r="J39" s="15"/>
      <c r="K39" s="15"/>
      <c r="L39" s="224"/>
      <c r="M39" s="222"/>
      <c r="N39" s="295"/>
      <c r="O39" s="295"/>
      <c r="P39" s="295"/>
      <c r="V39" s="146"/>
      <c r="W39" s="146"/>
      <c r="X39" s="146"/>
      <c r="Y39" s="146"/>
      <c r="Z39" s="146"/>
      <c r="AA39" s="146"/>
      <c r="AB39" s="146"/>
      <c r="AC39" s="146"/>
      <c r="AD39" s="146"/>
      <c r="AE39" s="146"/>
      <c r="AF39" s="146"/>
      <c r="AG39" s="146"/>
      <c r="AH39" s="146"/>
      <c r="AI39" s="146"/>
      <c r="AJ39" s="146"/>
      <c r="AK39" s="146"/>
      <c r="AL39" s="146"/>
    </row>
    <row r="40" spans="1:38" ht="5.0999999999999996" customHeight="1" x14ac:dyDescent="0.25">
      <c r="A40" s="20"/>
      <c r="B40" s="513"/>
      <c r="C40" s="20"/>
      <c r="D40" s="20"/>
      <c r="E40" s="20"/>
      <c r="F40" s="20"/>
      <c r="G40" s="513"/>
      <c r="H40" s="20"/>
      <c r="I40" s="15"/>
      <c r="J40" s="15"/>
      <c r="K40" s="15"/>
      <c r="L40" s="224"/>
      <c r="M40" s="222"/>
      <c r="N40" s="295"/>
      <c r="O40" s="295"/>
      <c r="P40" s="295"/>
      <c r="V40" s="146"/>
      <c r="W40" s="146"/>
      <c r="X40" s="146"/>
      <c r="Y40" s="146"/>
      <c r="Z40" s="146"/>
      <c r="AA40" s="146"/>
      <c r="AB40" s="146"/>
      <c r="AC40" s="146"/>
      <c r="AD40" s="146"/>
      <c r="AE40" s="146"/>
      <c r="AF40" s="146"/>
      <c r="AG40" s="146"/>
      <c r="AH40" s="146"/>
      <c r="AI40" s="146"/>
      <c r="AJ40" s="146"/>
      <c r="AK40" s="146"/>
      <c r="AL40" s="146"/>
    </row>
    <row r="41" spans="1:38" ht="15" customHeight="1" thickBot="1" x14ac:dyDescent="0.3">
      <c r="A41" s="20"/>
      <c r="B41" s="236"/>
      <c r="C41" s="922" t="s">
        <v>238</v>
      </c>
      <c r="D41" s="922"/>
      <c r="E41" s="922"/>
      <c r="F41" s="922"/>
      <c r="G41" s="227"/>
      <c r="H41" s="15"/>
      <c r="I41" s="15"/>
      <c r="J41" s="15"/>
      <c r="K41" s="15"/>
      <c r="L41" s="224"/>
      <c r="M41" s="222"/>
      <c r="N41" s="295"/>
      <c r="O41" s="295"/>
      <c r="P41" s="295"/>
      <c r="V41" s="146"/>
      <c r="W41" s="146"/>
      <c r="X41" s="146"/>
      <c r="Y41" s="146"/>
      <c r="Z41" s="146"/>
      <c r="AA41" s="146"/>
      <c r="AB41" s="146"/>
      <c r="AC41" s="146"/>
      <c r="AD41" s="146"/>
      <c r="AE41" s="146"/>
      <c r="AF41" s="146"/>
      <c r="AG41" s="146"/>
      <c r="AH41" s="146"/>
      <c r="AI41" s="146"/>
      <c r="AJ41" s="146"/>
      <c r="AK41" s="146"/>
      <c r="AL41" s="146"/>
    </row>
    <row r="42" spans="1:38" ht="15" customHeight="1" x14ac:dyDescent="0.25">
      <c r="A42" s="228"/>
      <c r="B42" s="236"/>
      <c r="C42" s="230" t="s">
        <v>9</v>
      </c>
      <c r="D42" s="230" t="s">
        <v>99</v>
      </c>
      <c r="E42" s="230" t="s">
        <v>100</v>
      </c>
      <c r="F42" s="230" t="s">
        <v>101</v>
      </c>
      <c r="G42" s="231"/>
      <c r="H42" s="269" t="s">
        <v>14</v>
      </c>
      <c r="I42" s="230"/>
      <c r="J42" s="230"/>
      <c r="K42" s="230"/>
      <c r="L42" s="232"/>
      <c r="M42" s="222"/>
      <c r="N42" s="295"/>
      <c r="O42" s="295"/>
      <c r="P42" s="295"/>
      <c r="V42" s="146"/>
      <c r="W42" s="146"/>
      <c r="X42" s="146"/>
      <c r="Y42" s="146"/>
      <c r="Z42" s="146"/>
      <c r="AA42" s="146"/>
      <c r="AB42" s="146"/>
      <c r="AC42" s="146"/>
      <c r="AD42" s="146"/>
      <c r="AE42" s="146"/>
      <c r="AF42" s="146"/>
      <c r="AG42" s="146"/>
      <c r="AH42" s="146"/>
      <c r="AI42" s="146"/>
      <c r="AJ42" s="146"/>
      <c r="AK42" s="146"/>
      <c r="AL42" s="146"/>
    </row>
    <row r="43" spans="1:38" ht="15.95" customHeight="1" x14ac:dyDescent="0.25">
      <c r="A43" s="514" t="s">
        <v>244</v>
      </c>
      <c r="B43" s="270"/>
      <c r="C43" s="564" t="str">
        <f>IFERROR(Calculations!C227+Calculations!C201+Calculations!C209+Calculations!C176+Calculations!C95+Calculations!C62+Calculations!C160,"NA")</f>
        <v>NA</v>
      </c>
      <c r="D43" s="564" t="str">
        <f>IFERROR(Calculations!D227+Calculations!D201+Calculations!D209+Calculations!D176+Calculations!D95+Calculations!D62+Calculations!D160,"NA")</f>
        <v>NA</v>
      </c>
      <c r="E43" s="564" t="str">
        <f>IFERROR(Calculations!E227+Calculations!E201+Calculations!E209+Calculations!E176+Calculations!E95+Calculations!E62+Calculations!E160,"NA")</f>
        <v>NA</v>
      </c>
      <c r="F43" s="564" t="str">
        <f>IFERROR(Calculations!F227+Calculations!F201+Calculations!F209+Calculations!F176+Calculations!F95+Calculations!F62+Calculations!F160,"NA")</f>
        <v>NA</v>
      </c>
      <c r="G43" s="247" t="str">
        <f>IFERROR(Calculations!G227+Calculations!G201+Calculations!G209+Calculations!#REF!+Calculations!G176+Calculations!#REF!+Calculations!G95+Calculations!G62+Calculations!G160,"NA")</f>
        <v>NA</v>
      </c>
      <c r="H43" s="925" t="s">
        <v>143</v>
      </c>
      <c r="I43" s="925"/>
      <c r="J43" s="925"/>
      <c r="K43" s="3"/>
      <c r="L43" s="232"/>
      <c r="M43" s="222"/>
    </row>
    <row r="44" spans="1:38" ht="15.95" customHeight="1" x14ac:dyDescent="0.25">
      <c r="A44" s="514" t="s">
        <v>244</v>
      </c>
      <c r="B44" s="270"/>
      <c r="C44" s="515" t="str">
        <f>IFERROR(C43/C5,"NA")</f>
        <v>NA</v>
      </c>
      <c r="D44" s="515" t="str">
        <f>IFERROR(D43/D5,"NA")</f>
        <v>NA</v>
      </c>
      <c r="E44" s="515" t="str">
        <f>IFERROR(E43/E5,"NA")</f>
        <v>NA</v>
      </c>
      <c r="F44" s="515" t="str">
        <f>IFERROR(F43/F5,"NA")</f>
        <v>NA</v>
      </c>
      <c r="G44" s="247"/>
      <c r="H44" s="925" t="s">
        <v>245</v>
      </c>
      <c r="I44" s="925"/>
      <c r="J44" s="925"/>
      <c r="K44" s="3"/>
      <c r="L44" s="232"/>
      <c r="M44" s="222"/>
    </row>
    <row r="45" spans="1:38" s="284" customFormat="1" ht="5.25" customHeight="1" x14ac:dyDescent="0.25">
      <c r="A45" s="271"/>
      <c r="B45" s="236"/>
      <c r="C45" s="259"/>
      <c r="D45" s="259"/>
      <c r="E45" s="259"/>
      <c r="F45" s="259"/>
      <c r="G45" s="259"/>
      <c r="H45" s="259"/>
      <c r="I45" s="259"/>
      <c r="J45" s="259"/>
      <c r="K45" s="229"/>
      <c r="L45" s="273"/>
      <c r="M45" s="223"/>
    </row>
    <row r="46" spans="1:38" ht="15.95" customHeight="1" x14ac:dyDescent="0.25">
      <c r="A46" s="516" t="s">
        <v>246</v>
      </c>
      <c r="B46" s="236"/>
      <c r="C46" s="517" t="str">
        <f>IFERROR(Calculations!C227/C43,"NA")</f>
        <v>NA</v>
      </c>
      <c r="D46" s="517" t="str">
        <f>IFERROR(Calculations!D227/D43,"NA")</f>
        <v>NA</v>
      </c>
      <c r="E46" s="517" t="str">
        <f>IFERROR(Calculations!E227/E43,"NA")</f>
        <v>NA</v>
      </c>
      <c r="F46" s="517" t="str">
        <f>IFERROR(Calculations!F227/F43,"NA")</f>
        <v>NA</v>
      </c>
      <c r="G46" s="259"/>
      <c r="H46" s="924" t="s">
        <v>247</v>
      </c>
      <c r="I46" s="924"/>
      <c r="J46" s="924"/>
      <c r="K46" s="3"/>
      <c r="L46" s="232"/>
      <c r="M46" s="222"/>
    </row>
    <row r="47" spans="1:38" ht="15.95" customHeight="1" x14ac:dyDescent="0.25">
      <c r="A47" s="516" t="s">
        <v>615</v>
      </c>
      <c r="B47" s="236"/>
      <c r="C47" s="517" t="str">
        <f>IFERROR(Calculations!C201/C43,"NA")</f>
        <v>NA</v>
      </c>
      <c r="D47" s="517" t="str">
        <f>IFERROR(Calculations!D201/D43,"NA")</f>
        <v>NA</v>
      </c>
      <c r="E47" s="517" t="str">
        <f>IFERROR(Calculations!E201/E43,"NA")</f>
        <v>NA</v>
      </c>
      <c r="F47" s="517" t="str">
        <f>IFERROR(Calculations!F201/F43,"NA")</f>
        <v>NA</v>
      </c>
      <c r="G47" s="259"/>
      <c r="H47" s="924" t="s">
        <v>247</v>
      </c>
      <c r="I47" s="924"/>
      <c r="J47" s="924"/>
      <c r="K47" s="3"/>
      <c r="L47" s="232"/>
      <c r="M47" s="222"/>
    </row>
    <row r="48" spans="1:38" ht="26.25" customHeight="1" x14ac:dyDescent="0.25">
      <c r="A48" s="518" t="s">
        <v>614</v>
      </c>
      <c r="B48" s="236"/>
      <c r="C48" s="517" t="str">
        <f>IFERROR(Calculations!C209/C43,"NA")</f>
        <v>NA</v>
      </c>
      <c r="D48" s="517" t="str">
        <f>IFERROR(Calculations!D209/D43,"NA")</f>
        <v>NA</v>
      </c>
      <c r="E48" s="517" t="str">
        <f>IFERROR(Calculations!E209/E43,"NA")</f>
        <v>NA</v>
      </c>
      <c r="F48" s="517" t="str">
        <f>IFERROR(Calculations!F209/F43,"NA")</f>
        <v>NA</v>
      </c>
      <c r="G48" s="259"/>
      <c r="H48" s="924" t="s">
        <v>247</v>
      </c>
      <c r="I48" s="924"/>
      <c r="J48" s="924"/>
      <c r="K48" s="3"/>
      <c r="L48" s="232"/>
      <c r="M48" s="222"/>
    </row>
    <row r="49" spans="1:13" ht="15.95" customHeight="1" x14ac:dyDescent="0.25">
      <c r="A49" s="516" t="s">
        <v>616</v>
      </c>
      <c r="B49" s="236"/>
      <c r="C49" s="517" t="str">
        <f>IFERROR(Calculations!C176/C43,"NA")</f>
        <v>NA</v>
      </c>
      <c r="D49" s="517" t="str">
        <f>IFERROR(Calculations!D176/D43,"NA")</f>
        <v>NA</v>
      </c>
      <c r="E49" s="517" t="str">
        <f>IFERROR(Calculations!E176/E43,"NA")</f>
        <v>NA</v>
      </c>
      <c r="F49" s="517" t="str">
        <f>IFERROR(Calculations!F176/F43,"NA")</f>
        <v>NA</v>
      </c>
      <c r="G49" s="259"/>
      <c r="H49" s="924" t="s">
        <v>247</v>
      </c>
      <c r="I49" s="924"/>
      <c r="J49" s="924"/>
      <c r="K49" s="3"/>
      <c r="L49" s="232"/>
      <c r="M49" s="222"/>
    </row>
    <row r="50" spans="1:13" ht="15.95" customHeight="1" x14ac:dyDescent="0.25">
      <c r="A50" s="516" t="s">
        <v>617</v>
      </c>
      <c r="B50" s="236"/>
      <c r="C50" s="517" t="str">
        <f>IFERROR(Calculations!C160/C43,"NA")</f>
        <v>NA</v>
      </c>
      <c r="D50" s="517" t="str">
        <f>IFERROR(Calculations!D160/D43,"NA")</f>
        <v>NA</v>
      </c>
      <c r="E50" s="517" t="str">
        <f>IFERROR(Calculations!E160/E43,"NA")</f>
        <v>NA</v>
      </c>
      <c r="F50" s="517" t="str">
        <f>IFERROR(Calculations!F160/F43,"NA")</f>
        <v>NA</v>
      </c>
      <c r="G50" s="259"/>
      <c r="H50" s="924" t="s">
        <v>247</v>
      </c>
      <c r="I50" s="924"/>
      <c r="J50" s="924"/>
      <c r="K50" s="3"/>
      <c r="L50" s="232"/>
      <c r="M50" s="222"/>
    </row>
    <row r="51" spans="1:13" ht="15.95" customHeight="1" x14ac:dyDescent="0.25">
      <c r="A51" s="518" t="s">
        <v>618</v>
      </c>
      <c r="B51" s="236"/>
      <c r="C51" s="517" t="str">
        <f>IFERROR(Calculations!C95/C43,"NA")</f>
        <v>NA</v>
      </c>
      <c r="D51" s="517" t="str">
        <f>IFERROR(Calculations!D95/D43,"NA")</f>
        <v>NA</v>
      </c>
      <c r="E51" s="517" t="str">
        <f>IFERROR(Calculations!E95/E43,"NA")</f>
        <v>NA</v>
      </c>
      <c r="F51" s="517" t="str">
        <f>IFERROR(Calculations!F95/F43,"NA")</f>
        <v>NA</v>
      </c>
      <c r="G51" s="259"/>
      <c r="H51" s="924" t="s">
        <v>247</v>
      </c>
      <c r="I51" s="924"/>
      <c r="J51" s="924"/>
      <c r="K51" s="3"/>
      <c r="L51" s="232"/>
      <c r="M51" s="222"/>
    </row>
    <row r="52" spans="1:13" ht="15.95" customHeight="1" x14ac:dyDescent="0.25">
      <c r="A52" s="516" t="s">
        <v>714</v>
      </c>
      <c r="B52" s="236"/>
      <c r="C52" s="517" t="str">
        <f>IFERROR(Calculations!C62/C43,"NA")</f>
        <v>NA</v>
      </c>
      <c r="D52" s="517" t="str">
        <f>IFERROR(Calculations!D62/D43,"NA")</f>
        <v>NA</v>
      </c>
      <c r="E52" s="517" t="str">
        <f>IFERROR(Calculations!E62/E43,"NA")</f>
        <v>NA</v>
      </c>
      <c r="F52" s="517" t="str">
        <f>IFERROR(Calculations!F62/F43,"NA")</f>
        <v>NA</v>
      </c>
      <c r="G52" s="259"/>
      <c r="H52" s="924" t="s">
        <v>247</v>
      </c>
      <c r="I52" s="924"/>
      <c r="J52" s="924"/>
      <c r="K52" s="3"/>
      <c r="L52" s="232"/>
      <c r="M52" s="222"/>
    </row>
    <row r="53" spans="1:13" s="284" customFormat="1" ht="3.95" customHeight="1" x14ac:dyDescent="0.25">
      <c r="A53" s="271"/>
      <c r="B53" s="236"/>
      <c r="C53" s="272"/>
      <c r="D53" s="272"/>
      <c r="E53" s="272"/>
      <c r="F53" s="272"/>
      <c r="G53" s="259"/>
      <c r="H53" s="271"/>
      <c r="I53" s="271"/>
      <c r="J53" s="259"/>
      <c r="K53" s="3"/>
      <c r="L53" s="273"/>
      <c r="M53" s="223"/>
    </row>
    <row r="54" spans="1:13" s="284" customFormat="1" ht="15.95" customHeight="1" x14ac:dyDescent="0.25">
      <c r="A54" s="501" t="s">
        <v>248</v>
      </c>
      <c r="B54" s="274"/>
      <c r="C54" s="502" t="str">
        <f>IFERROR(Calculations!C279,"NA")</f>
        <v>NA</v>
      </c>
      <c r="D54" s="502" t="str">
        <f>IFERROR(Calculations!D279,"NA")</f>
        <v>NA</v>
      </c>
      <c r="E54" s="502" t="str">
        <f>IFERROR(Calculations!E279,"NA")</f>
        <v>NA</v>
      </c>
      <c r="F54" s="502" t="str">
        <f>IFERROR(Calculations!F279,"NA")</f>
        <v>NA</v>
      </c>
      <c r="G54" s="276"/>
      <c r="H54" s="923" t="s">
        <v>143</v>
      </c>
      <c r="I54" s="923"/>
      <c r="J54" s="923"/>
      <c r="K54" s="3"/>
      <c r="L54" s="273"/>
      <c r="M54" s="223"/>
    </row>
    <row r="55" spans="1:13" s="284" customFormat="1" ht="15.95" customHeight="1" x14ac:dyDescent="0.25">
      <c r="A55" s="501" t="s">
        <v>248</v>
      </c>
      <c r="B55" s="274"/>
      <c r="C55" s="503" t="str">
        <f>IFERROR(C54/C43,"NA")</f>
        <v>NA</v>
      </c>
      <c r="D55" s="503" t="str">
        <f t="shared" ref="D55:F55" si="6">IFERROR(D54/D43,"NA")</f>
        <v>NA</v>
      </c>
      <c r="E55" s="503" t="str">
        <f t="shared" si="6"/>
        <v>NA</v>
      </c>
      <c r="F55" s="503" t="str">
        <f t="shared" si="6"/>
        <v>NA</v>
      </c>
      <c r="G55" s="276"/>
      <c r="H55" s="923" t="s">
        <v>247</v>
      </c>
      <c r="I55" s="923"/>
      <c r="J55" s="923"/>
      <c r="K55" s="3"/>
      <c r="L55" s="273"/>
      <c r="M55" s="223"/>
    </row>
    <row r="56" spans="1:13" s="284" customFormat="1" ht="3.95" customHeight="1" x14ac:dyDescent="0.25">
      <c r="A56" s="242"/>
      <c r="B56" s="243"/>
      <c r="C56" s="255"/>
      <c r="D56" s="255"/>
      <c r="E56" s="255"/>
      <c r="F56" s="255"/>
      <c r="G56" s="256"/>
      <c r="H56" s="255"/>
      <c r="I56" s="256"/>
      <c r="J56" s="256"/>
      <c r="K56" s="3"/>
      <c r="L56" s="273"/>
      <c r="M56" s="223"/>
    </row>
    <row r="57" spans="1:13" s="284" customFormat="1" ht="15.95" customHeight="1" x14ac:dyDescent="0.25">
      <c r="A57" s="504" t="s">
        <v>249</v>
      </c>
      <c r="B57" s="274"/>
      <c r="C57" s="505" t="str">
        <f>IFERROR(Calculations!C276,"NA")</f>
        <v>NA</v>
      </c>
      <c r="D57" s="505" t="str">
        <f>IFERROR(Calculations!D276,"NA")</f>
        <v>NA</v>
      </c>
      <c r="E57" s="505" t="str">
        <f>IFERROR(Calculations!E276,"NA")</f>
        <v>NA</v>
      </c>
      <c r="F57" s="505" t="str">
        <f>IFERROR(Calculations!F276,"NA")</f>
        <v>NA</v>
      </c>
      <c r="G57" s="276"/>
      <c r="H57" s="928" t="s">
        <v>143</v>
      </c>
      <c r="I57" s="928"/>
      <c r="J57" s="928"/>
      <c r="K57" s="3"/>
      <c r="L57" s="273"/>
      <c r="M57" s="223"/>
    </row>
    <row r="58" spans="1:13" s="284" customFormat="1" ht="15.95" customHeight="1" x14ac:dyDescent="0.25">
      <c r="A58" s="504" t="s">
        <v>249</v>
      </c>
      <c r="B58" s="274"/>
      <c r="C58" s="506" t="str">
        <f>IFERROR(C57/C43,"NA")</f>
        <v>NA</v>
      </c>
      <c r="D58" s="506" t="str">
        <f t="shared" ref="D58:F58" si="7">IFERROR(D57/D43,"NA")</f>
        <v>NA</v>
      </c>
      <c r="E58" s="506" t="str">
        <f t="shared" si="7"/>
        <v>NA</v>
      </c>
      <c r="F58" s="506" t="str">
        <f t="shared" si="7"/>
        <v>NA</v>
      </c>
      <c r="G58" s="276"/>
      <c r="H58" s="928" t="s">
        <v>247</v>
      </c>
      <c r="I58" s="928"/>
      <c r="J58" s="928"/>
      <c r="K58" s="3"/>
      <c r="L58" s="273"/>
      <c r="M58" s="223"/>
    </row>
    <row r="59" spans="1:13" s="284" customFormat="1" ht="3.95" customHeight="1" x14ac:dyDescent="0.25">
      <c r="A59" s="235"/>
      <c r="B59" s="236"/>
      <c r="C59" s="258"/>
      <c r="D59" s="258"/>
      <c r="E59" s="258"/>
      <c r="F59" s="258"/>
      <c r="G59" s="259"/>
      <c r="H59" s="258"/>
      <c r="I59" s="259"/>
      <c r="J59" s="259"/>
      <c r="K59" s="3"/>
      <c r="L59" s="273"/>
      <c r="M59" s="223"/>
    </row>
    <row r="60" spans="1:13" s="284" customFormat="1" ht="15.95" customHeight="1" x14ac:dyDescent="0.25">
      <c r="A60" s="507" t="s">
        <v>333</v>
      </c>
      <c r="B60" s="229"/>
      <c r="C60" s="508" t="str">
        <f>IFERROR(Calculations!C278,"NA")</f>
        <v>NA</v>
      </c>
      <c r="D60" s="508" t="str">
        <f>IFERROR(Calculations!D278,"NA")</f>
        <v>NA</v>
      </c>
      <c r="E60" s="508" t="str">
        <f>IFERROR(Calculations!E278,"NA")</f>
        <v>NA</v>
      </c>
      <c r="F60" s="508" t="str">
        <f>IFERROR(Calculations!F278,"NA")</f>
        <v>NA</v>
      </c>
      <c r="G60" s="223"/>
      <c r="H60" s="927" t="s">
        <v>143</v>
      </c>
      <c r="I60" s="927"/>
      <c r="J60" s="927"/>
      <c r="K60" s="3"/>
      <c r="L60" s="273"/>
      <c r="M60" s="223"/>
    </row>
    <row r="61" spans="1:13" s="284" customFormat="1" ht="15.95" customHeight="1" x14ac:dyDescent="0.25">
      <c r="A61" s="507" t="s">
        <v>333</v>
      </c>
      <c r="B61" s="229"/>
      <c r="C61" s="509" t="str">
        <f>IFERROR(C60/C43,"NA")</f>
        <v>NA</v>
      </c>
      <c r="D61" s="509" t="str">
        <f t="shared" ref="D61:F61" si="8">IFERROR(D60/D43,"NA")</f>
        <v>NA</v>
      </c>
      <c r="E61" s="509" t="str">
        <f t="shared" si="8"/>
        <v>NA</v>
      </c>
      <c r="F61" s="509" t="str">
        <f t="shared" si="8"/>
        <v>NA</v>
      </c>
      <c r="G61" s="223"/>
      <c r="H61" s="927" t="s">
        <v>247</v>
      </c>
      <c r="I61" s="927"/>
      <c r="J61" s="927"/>
      <c r="K61" s="3"/>
      <c r="L61" s="273"/>
      <c r="M61" s="223"/>
    </row>
    <row r="62" spans="1:13" s="284" customFormat="1" ht="3.95" customHeight="1" x14ac:dyDescent="0.25">
      <c r="A62" s="510"/>
      <c r="B62" s="236"/>
      <c r="C62" s="511"/>
      <c r="D62" s="511"/>
      <c r="E62" s="511"/>
      <c r="F62" s="511"/>
      <c r="G62" s="259"/>
      <c r="H62" s="510"/>
      <c r="I62" s="510"/>
      <c r="J62" s="512"/>
      <c r="K62" s="3"/>
      <c r="L62" s="273"/>
      <c r="M62" s="223"/>
    </row>
    <row r="63" spans="1:13" ht="15.95" customHeight="1" x14ac:dyDescent="0.25">
      <c r="A63" s="567" t="s">
        <v>631</v>
      </c>
      <c r="B63" s="253"/>
      <c r="C63" s="566" t="str">
        <f>IFERROR(Calculations!C277,"NA")</f>
        <v>NA</v>
      </c>
      <c r="D63" s="566" t="str">
        <f>IFERROR(Calculations!D277,"NA")</f>
        <v>NA</v>
      </c>
      <c r="E63" s="566" t="str">
        <f>IFERROR(Calculations!E277,"NA")</f>
        <v>NA</v>
      </c>
      <c r="F63" s="566" t="str">
        <f>IFERROR(Calculations!F277,"NA")</f>
        <v>NA</v>
      </c>
      <c r="G63" s="277"/>
      <c r="H63" s="930" t="s">
        <v>143</v>
      </c>
      <c r="I63" s="930"/>
      <c r="J63" s="930"/>
      <c r="K63" s="3"/>
      <c r="L63" s="232"/>
      <c r="M63" s="222"/>
    </row>
    <row r="64" spans="1:13" ht="15.95" customHeight="1" x14ac:dyDescent="0.25">
      <c r="A64" s="567" t="s">
        <v>631</v>
      </c>
      <c r="B64" s="253"/>
      <c r="C64" s="498" t="str">
        <f>IFERROR(C63/C43,"NA")</f>
        <v>NA</v>
      </c>
      <c r="D64" s="498" t="str">
        <f t="shared" ref="D64:F64" si="9">IFERROR(D63/D43,"NA")</f>
        <v>NA</v>
      </c>
      <c r="E64" s="498" t="str">
        <f t="shared" si="9"/>
        <v>NA</v>
      </c>
      <c r="F64" s="498" t="str">
        <f t="shared" si="9"/>
        <v>NA</v>
      </c>
      <c r="G64" s="277"/>
      <c r="H64" s="931" t="s">
        <v>247</v>
      </c>
      <c r="I64" s="931"/>
      <c r="J64" s="931"/>
      <c r="K64" s="3"/>
      <c r="L64" s="232"/>
      <c r="M64" s="222"/>
    </row>
    <row r="65" spans="1:13" ht="15.95" customHeight="1" x14ac:dyDescent="0.25">
      <c r="A65" s="567" t="s">
        <v>631</v>
      </c>
      <c r="B65" s="253"/>
      <c r="C65" s="498" t="str">
        <f>IFERROR(C63/C5,"NA")</f>
        <v>NA</v>
      </c>
      <c r="D65" s="498" t="str">
        <f>IFERROR(D63/D5,"NA")</f>
        <v>NA</v>
      </c>
      <c r="E65" s="498" t="str">
        <f>IFERROR(E63/E5,"NA")</f>
        <v>NA</v>
      </c>
      <c r="F65" s="498" t="str">
        <f>IFERROR(F63/F5,"NA")</f>
        <v>NA</v>
      </c>
      <c r="G65" s="277"/>
      <c r="H65" s="930" t="s">
        <v>245</v>
      </c>
      <c r="I65" s="930"/>
      <c r="J65" s="930"/>
      <c r="K65" s="3"/>
      <c r="L65" s="224"/>
      <c r="M65" s="222"/>
    </row>
    <row r="66" spans="1:13" ht="15.95" customHeight="1" x14ac:dyDescent="0.25">
      <c r="A66" s="499" t="s">
        <v>632</v>
      </c>
      <c r="B66" s="494"/>
      <c r="C66" s="500" t="str">
        <f>IFERROR(Calculations!C273/C63,"NA")</f>
        <v>NA</v>
      </c>
      <c r="D66" s="500" t="str">
        <f>IFERROR(Calculations!D273/D63,"NA")</f>
        <v>NA</v>
      </c>
      <c r="E66" s="500" t="str">
        <f>IFERROR(Calculations!E273/E63,"NA")</f>
        <v>NA</v>
      </c>
      <c r="F66" s="500" t="str">
        <f>IFERROR(Calculations!F273/F63,"NA")</f>
        <v>NA</v>
      </c>
      <c r="G66" s="496"/>
      <c r="H66" s="929" t="s">
        <v>630</v>
      </c>
      <c r="I66" s="929"/>
      <c r="J66" s="929"/>
      <c r="K66" s="3"/>
      <c r="L66" s="232"/>
      <c r="M66" s="222"/>
    </row>
    <row r="67" spans="1:13" ht="15.95" customHeight="1" x14ac:dyDescent="0.25">
      <c r="A67" s="499" t="s">
        <v>250</v>
      </c>
      <c r="B67" s="495"/>
      <c r="C67" s="500" t="str">
        <f>IFERROR(Calculations!C271/C63,"NA")</f>
        <v>NA</v>
      </c>
      <c r="D67" s="500" t="str">
        <f>IFERROR(Calculations!D271/D63,"NA")</f>
        <v>NA</v>
      </c>
      <c r="E67" s="500" t="str">
        <f>IFERROR(Calculations!E271/E63,"NA")</f>
        <v>NA</v>
      </c>
      <c r="F67" s="500" t="str">
        <f>IFERROR(Calculations!F271/F63,"NA")</f>
        <v>NA</v>
      </c>
      <c r="G67" s="497"/>
      <c r="H67" s="929" t="s">
        <v>630</v>
      </c>
      <c r="I67" s="929"/>
      <c r="J67" s="929"/>
      <c r="K67" s="3"/>
      <c r="L67" s="232"/>
      <c r="M67" s="222"/>
    </row>
    <row r="68" spans="1:13" s="284" customFormat="1" ht="3.95" customHeight="1" x14ac:dyDescent="0.25">
      <c r="A68" s="235"/>
      <c r="B68" s="236"/>
      <c r="C68" s="258"/>
      <c r="D68" s="258"/>
      <c r="E68" s="258"/>
      <c r="F68" s="258"/>
      <c r="G68" s="259"/>
      <c r="H68" s="258"/>
      <c r="I68" s="259"/>
      <c r="J68" s="259"/>
      <c r="K68" s="3"/>
      <c r="L68" s="273"/>
      <c r="M68" s="223"/>
    </row>
    <row r="69" spans="1:13" ht="15.95" customHeight="1" x14ac:dyDescent="0.25">
      <c r="A69" s="519" t="s">
        <v>628</v>
      </c>
      <c r="B69" s="274"/>
      <c r="C69" s="520" t="str">
        <f>IFERROR((C63/'Baseline data entry'!E12)*1000,"NA")</f>
        <v>NA</v>
      </c>
      <c r="D69" s="520" t="str">
        <f>IFERROR((D63/'Scenario data entry'!F12)*1000,"NA")</f>
        <v>NA</v>
      </c>
      <c r="E69" s="520" t="str">
        <f>IFERROR((E63/'Scenario data entry'!G12)*1000,"NA")</f>
        <v>NA</v>
      </c>
      <c r="F69" s="520" t="str">
        <f>IFERROR((F63/'Scenario data entry'!H12)*1000,"NA")</f>
        <v>NA</v>
      </c>
      <c r="G69" s="275"/>
      <c r="H69" s="926" t="s">
        <v>251</v>
      </c>
      <c r="I69" s="926"/>
      <c r="J69" s="926"/>
      <c r="K69" s="639"/>
      <c r="L69" s="343"/>
      <c r="M69" s="639"/>
    </row>
    <row r="70" spans="1:13" ht="15.95" customHeight="1" x14ac:dyDescent="0.25">
      <c r="A70" s="519" t="s">
        <v>628</v>
      </c>
      <c r="B70" s="274"/>
      <c r="C70" s="565" t="str">
        <f>IFERROR(C69/0.03,"NA")</f>
        <v>NA</v>
      </c>
      <c r="D70" s="565" t="str">
        <f t="shared" ref="D70:F70" si="10">IFERROR(D69/0.03,"NA")</f>
        <v>NA</v>
      </c>
      <c r="E70" s="565" t="str">
        <f t="shared" si="10"/>
        <v>NA</v>
      </c>
      <c r="F70" s="565" t="str">
        <f t="shared" si="10"/>
        <v>NA</v>
      </c>
      <c r="G70" s="276"/>
      <c r="H70" s="926" t="s">
        <v>624</v>
      </c>
      <c r="I70" s="926"/>
      <c r="J70" s="926"/>
      <c r="K70" s="639"/>
      <c r="L70" s="640"/>
      <c r="M70" s="639"/>
    </row>
    <row r="71" spans="1:13" ht="15.95" customHeight="1" x14ac:dyDescent="0.25">
      <c r="A71" s="519" t="s">
        <v>629</v>
      </c>
      <c r="B71" s="641"/>
      <c r="C71" s="544" t="str">
        <f>IFERROR((C63/34*1000)/2500,"NA")</f>
        <v>NA</v>
      </c>
      <c r="D71" s="544" t="str">
        <f>IFERROR((D63/34*1000)/2500,"NA")</f>
        <v>NA</v>
      </c>
      <c r="E71" s="544" t="str">
        <f>IFERROR((E63/34*1000)/2500,"NA")</f>
        <v>NA</v>
      </c>
      <c r="F71" s="544" t="str">
        <f>IFERROR((F63/34*1000)/2500,"NA")</f>
        <v>NA</v>
      </c>
      <c r="G71" s="642"/>
      <c r="H71" s="643" t="s">
        <v>623</v>
      </c>
      <c r="I71" s="643"/>
      <c r="J71" s="643"/>
      <c r="K71" s="639"/>
      <c r="L71" s="640"/>
      <c r="M71" s="639"/>
    </row>
    <row r="72" spans="1:13" ht="15.95" customHeight="1" x14ac:dyDescent="0.25">
      <c r="A72" s="519" t="s">
        <v>629</v>
      </c>
      <c r="B72" s="641"/>
      <c r="C72" s="544" t="str">
        <f>IFERROR((C63/34*1000)/20,"NA")</f>
        <v>NA</v>
      </c>
      <c r="D72" s="544" t="str">
        <f>IFERROR((D63/34*1000)/20,"NA")</f>
        <v>NA</v>
      </c>
      <c r="E72" s="544" t="str">
        <f>IFERROR((E63/34*1000)/20,"NA")</f>
        <v>NA</v>
      </c>
      <c r="F72" s="544" t="str">
        <f>IFERROR((F63/34*1000)/20,"NA")</f>
        <v>NA</v>
      </c>
      <c r="G72" s="642"/>
      <c r="H72" s="643" t="s">
        <v>625</v>
      </c>
      <c r="I72" s="643"/>
      <c r="J72" s="643"/>
      <c r="K72" s="639"/>
      <c r="L72" s="640"/>
      <c r="M72" s="639"/>
    </row>
    <row r="73" spans="1:13" x14ac:dyDescent="0.25">
      <c r="A73" s="493" t="s">
        <v>622</v>
      </c>
      <c r="B73" s="343"/>
      <c r="C73" s="639"/>
      <c r="D73" s="639"/>
      <c r="E73" s="639"/>
      <c r="F73" s="639"/>
      <c r="G73" s="642"/>
      <c r="H73" s="639"/>
      <c r="I73" s="639"/>
      <c r="J73" s="639"/>
      <c r="K73" s="639"/>
      <c r="L73" s="640"/>
      <c r="M73" s="639"/>
    </row>
    <row r="74" spans="1:13" x14ac:dyDescent="0.25">
      <c r="A74" s="920" t="s">
        <v>626</v>
      </c>
      <c r="B74" s="921"/>
      <c r="C74" s="921"/>
      <c r="D74" s="921"/>
      <c r="E74" s="921"/>
      <c r="F74" s="921"/>
      <c r="G74" s="921"/>
      <c r="H74" s="921"/>
      <c r="I74" s="921"/>
      <c r="J74" s="921"/>
      <c r="K74" s="639"/>
      <c r="L74" s="343"/>
      <c r="M74" s="639"/>
    </row>
    <row r="75" spans="1:13" x14ac:dyDescent="0.25">
      <c r="A75" s="493" t="s">
        <v>627</v>
      </c>
      <c r="B75" s="232"/>
      <c r="C75" s="222"/>
      <c r="D75" s="639"/>
      <c r="E75" s="639"/>
      <c r="F75" s="639"/>
      <c r="G75" s="642"/>
      <c r="H75" s="639"/>
      <c r="I75" s="639"/>
      <c r="J75" s="639"/>
      <c r="K75" s="639"/>
      <c r="L75" s="343"/>
      <c r="M75" s="639"/>
    </row>
    <row r="76" spans="1:13" x14ac:dyDescent="0.25">
      <c r="A76" s="639"/>
      <c r="B76" s="343"/>
      <c r="C76" s="639"/>
      <c r="D76" s="639"/>
      <c r="E76" s="639"/>
      <c r="F76" s="639"/>
      <c r="G76" s="642"/>
      <c r="H76" s="639"/>
      <c r="I76" s="639"/>
      <c r="J76" s="639"/>
      <c r="K76" s="639"/>
      <c r="L76" s="343"/>
      <c r="M76" s="639"/>
    </row>
    <row r="77" spans="1:13" ht="24" customHeight="1" x14ac:dyDescent="0.25">
      <c r="L77" s="285"/>
    </row>
    <row r="78" spans="1:13" ht="3.95" customHeight="1" x14ac:dyDescent="0.25">
      <c r="L78" s="285"/>
    </row>
    <row r="79" spans="1:13" ht="24" customHeight="1" x14ac:dyDescent="0.25">
      <c r="L79" s="285"/>
    </row>
    <row r="80" spans="1:13" ht="8.25" customHeight="1" x14ac:dyDescent="0.25">
      <c r="A80" s="292"/>
      <c r="B80" s="293"/>
      <c r="C80" s="299"/>
      <c r="D80" s="299"/>
      <c r="E80" s="299"/>
      <c r="F80" s="299"/>
      <c r="G80" s="300"/>
      <c r="H80" s="299"/>
      <c r="I80" s="300"/>
      <c r="J80" s="300"/>
      <c r="K80" s="300"/>
      <c r="L80" s="285"/>
    </row>
    <row r="81" spans="1:13" ht="20.100000000000001" customHeight="1" x14ac:dyDescent="0.25">
      <c r="I81" s="304"/>
      <c r="J81" s="304"/>
      <c r="K81" s="304"/>
      <c r="L81" s="285"/>
    </row>
    <row r="82" spans="1:13" ht="8.25" customHeight="1" x14ac:dyDescent="0.25">
      <c r="A82" s="307"/>
      <c r="B82" s="293"/>
      <c r="C82" s="299"/>
      <c r="D82" s="299"/>
      <c r="E82" s="299"/>
      <c r="F82" s="299"/>
      <c r="G82" s="300"/>
      <c r="H82" s="299"/>
      <c r="I82" s="300"/>
      <c r="J82" s="300"/>
      <c r="K82" s="300"/>
      <c r="L82" s="285"/>
    </row>
    <row r="83" spans="1:13" x14ac:dyDescent="0.25">
      <c r="I83" s="305"/>
      <c r="J83" s="305"/>
      <c r="K83" s="305"/>
      <c r="L83" s="285"/>
    </row>
    <row r="84" spans="1:13" ht="8.25" customHeight="1" x14ac:dyDescent="0.25">
      <c r="A84" s="287"/>
      <c r="B84" s="288"/>
      <c r="C84" s="289"/>
      <c r="D84" s="289"/>
      <c r="E84" s="289"/>
      <c r="F84" s="289"/>
      <c r="G84" s="290"/>
      <c r="H84" s="289"/>
      <c r="I84" s="289"/>
      <c r="J84" s="289"/>
      <c r="K84" s="289"/>
      <c r="L84" s="285"/>
    </row>
    <row r="85" spans="1:13" ht="42.75" customHeight="1" x14ac:dyDescent="0.25">
      <c r="L85" s="285"/>
    </row>
    <row r="86" spans="1:13" s="284" customFormat="1" ht="21" customHeight="1" x14ac:dyDescent="0.25">
      <c r="A86" s="308"/>
      <c r="B86" s="308"/>
      <c r="C86" s="308"/>
      <c r="D86" s="308"/>
      <c r="E86" s="308"/>
      <c r="F86" s="308"/>
      <c r="G86" s="279"/>
      <c r="H86" s="279"/>
      <c r="I86" s="279"/>
      <c r="J86" s="279"/>
      <c r="K86" s="279"/>
      <c r="L86" s="302"/>
      <c r="M86" s="279"/>
    </row>
    <row r="87" spans="1:13" s="284" customFormat="1" x14ac:dyDescent="0.25">
      <c r="A87" s="309"/>
      <c r="B87" s="282"/>
      <c r="C87" s="279"/>
      <c r="D87" s="279"/>
      <c r="E87" s="279"/>
      <c r="F87" s="279"/>
      <c r="G87" s="279"/>
      <c r="H87" s="279"/>
      <c r="I87" s="279"/>
      <c r="J87" s="279"/>
      <c r="K87" s="279"/>
      <c r="L87" s="302"/>
      <c r="M87" s="279"/>
    </row>
    <row r="88" spans="1:13" s="284" customFormat="1" ht="7.5" customHeight="1" x14ac:dyDescent="0.25">
      <c r="A88" s="309"/>
      <c r="B88" s="282"/>
      <c r="C88" s="279"/>
      <c r="D88" s="279"/>
      <c r="E88" s="279"/>
      <c r="F88" s="279"/>
      <c r="G88" s="279"/>
      <c r="H88" s="279"/>
      <c r="I88" s="279"/>
      <c r="J88" s="279"/>
      <c r="K88" s="279"/>
      <c r="L88" s="302"/>
      <c r="M88" s="279"/>
    </row>
    <row r="89" spans="1:13" s="284" customFormat="1" x14ac:dyDescent="0.25">
      <c r="A89" s="310"/>
      <c r="C89" s="311"/>
      <c r="D89" s="311"/>
      <c r="E89" s="311"/>
      <c r="F89" s="311"/>
      <c r="G89" s="311"/>
      <c r="H89" s="311"/>
      <c r="I89" s="311"/>
      <c r="J89" s="311"/>
      <c r="K89" s="311"/>
      <c r="L89" s="302"/>
      <c r="M89" s="279"/>
    </row>
    <row r="90" spans="1:13" s="284" customFormat="1" ht="24" customHeight="1" x14ac:dyDescent="0.25">
      <c r="A90" s="312"/>
      <c r="B90" s="286"/>
      <c r="C90" s="313"/>
      <c r="D90" s="313"/>
      <c r="E90" s="313"/>
      <c r="F90" s="313"/>
      <c r="G90" s="313"/>
      <c r="H90" s="313"/>
      <c r="I90" s="313"/>
      <c r="J90" s="313"/>
      <c r="K90" s="313"/>
      <c r="L90" s="302"/>
      <c r="M90" s="279"/>
    </row>
    <row r="91" spans="1:13" s="284" customFormat="1" ht="8.25" customHeight="1" x14ac:dyDescent="0.25">
      <c r="A91" s="301"/>
      <c r="B91" s="288"/>
      <c r="C91" s="314"/>
      <c r="D91" s="314"/>
      <c r="E91" s="314"/>
      <c r="F91" s="314"/>
      <c r="G91" s="314"/>
      <c r="H91" s="314"/>
      <c r="I91" s="314"/>
      <c r="J91" s="314"/>
      <c r="K91" s="314"/>
      <c r="L91" s="302"/>
      <c r="M91" s="279"/>
    </row>
    <row r="92" spans="1:13" s="284" customFormat="1" ht="24" customHeight="1" x14ac:dyDescent="0.25">
      <c r="A92" s="315"/>
      <c r="B92" s="291"/>
      <c r="C92" s="316"/>
      <c r="D92" s="316"/>
      <c r="E92" s="316"/>
      <c r="F92" s="316"/>
      <c r="G92" s="316"/>
      <c r="H92" s="316"/>
      <c r="I92" s="316"/>
      <c r="J92" s="316"/>
      <c r="K92" s="316"/>
      <c r="L92" s="302"/>
      <c r="M92" s="279"/>
    </row>
    <row r="93" spans="1:13" s="284" customFormat="1" ht="8.25" customHeight="1" x14ac:dyDescent="0.25">
      <c r="A93" s="301"/>
      <c r="B93" s="288"/>
      <c r="C93" s="317"/>
      <c r="D93" s="317"/>
      <c r="E93" s="317"/>
      <c r="F93" s="317"/>
      <c r="G93" s="317"/>
      <c r="H93" s="317"/>
      <c r="I93" s="317"/>
      <c r="J93" s="317"/>
      <c r="K93" s="317"/>
      <c r="L93" s="302"/>
      <c r="M93" s="279"/>
    </row>
    <row r="94" spans="1:13" s="284" customFormat="1" ht="20.100000000000001" customHeight="1" x14ac:dyDescent="0.25">
      <c r="A94" s="318"/>
      <c r="B94" s="303"/>
      <c r="C94" s="319"/>
      <c r="D94" s="319"/>
      <c r="E94" s="319"/>
      <c r="F94" s="319"/>
      <c r="G94" s="319"/>
      <c r="H94" s="319"/>
      <c r="I94" s="319"/>
      <c r="J94" s="319"/>
      <c r="K94" s="319"/>
      <c r="L94" s="302"/>
      <c r="M94" s="279"/>
    </row>
    <row r="95" spans="1:13" s="284" customFormat="1" ht="8.25" customHeight="1" x14ac:dyDescent="0.25">
      <c r="A95" s="320"/>
      <c r="B95" s="293"/>
      <c r="C95" s="317"/>
      <c r="D95" s="317"/>
      <c r="E95" s="317"/>
      <c r="F95" s="317"/>
      <c r="G95" s="317"/>
      <c r="H95" s="317"/>
      <c r="I95" s="317"/>
      <c r="J95" s="317"/>
      <c r="K95" s="317"/>
      <c r="L95" s="302"/>
      <c r="M95" s="279"/>
    </row>
    <row r="96" spans="1:13" s="284" customFormat="1" ht="20.100000000000001" customHeight="1" x14ac:dyDescent="0.25">
      <c r="A96" s="321"/>
      <c r="B96" s="322"/>
      <c r="C96" s="319"/>
      <c r="D96" s="319"/>
      <c r="E96" s="319"/>
      <c r="F96" s="319"/>
      <c r="G96" s="319"/>
      <c r="H96" s="319"/>
      <c r="I96" s="319"/>
      <c r="J96" s="319"/>
      <c r="K96" s="319"/>
      <c r="L96" s="302"/>
      <c r="M96" s="279"/>
    </row>
    <row r="97" spans="1:13" s="284" customFormat="1" ht="8.25" customHeight="1" x14ac:dyDescent="0.25">
      <c r="A97" s="320"/>
      <c r="B97" s="293"/>
      <c r="C97" s="317"/>
      <c r="D97" s="317"/>
      <c r="E97" s="317"/>
      <c r="F97" s="317"/>
      <c r="G97" s="317"/>
      <c r="H97" s="317"/>
      <c r="I97" s="317"/>
      <c r="J97" s="317"/>
      <c r="K97" s="317"/>
      <c r="L97" s="302"/>
      <c r="M97" s="279"/>
    </row>
    <row r="98" spans="1:13" s="284" customFormat="1" ht="20.100000000000001" customHeight="1" x14ac:dyDescent="0.25">
      <c r="A98" s="318"/>
      <c r="B98" s="303"/>
      <c r="C98" s="319"/>
      <c r="D98" s="319"/>
      <c r="E98" s="319"/>
      <c r="F98" s="319"/>
      <c r="G98" s="319"/>
      <c r="H98" s="319"/>
      <c r="I98" s="319"/>
      <c r="J98" s="319"/>
      <c r="K98" s="319"/>
      <c r="L98" s="302"/>
      <c r="M98" s="279"/>
    </row>
    <row r="99" spans="1:13" s="284" customFormat="1" ht="8.25" customHeight="1" x14ac:dyDescent="0.25">
      <c r="A99" s="320"/>
      <c r="B99" s="293"/>
      <c r="C99" s="317"/>
      <c r="D99" s="317"/>
      <c r="E99" s="317"/>
      <c r="F99" s="317"/>
      <c r="G99" s="317"/>
      <c r="H99" s="317"/>
      <c r="I99" s="317"/>
      <c r="J99" s="317"/>
      <c r="K99" s="317"/>
      <c r="L99" s="302"/>
      <c r="M99" s="279"/>
    </row>
    <row r="100" spans="1:13" s="284" customFormat="1" ht="20.100000000000001" customHeight="1" x14ac:dyDescent="0.25">
      <c r="A100" s="321"/>
      <c r="B100" s="303"/>
      <c r="C100" s="319"/>
      <c r="D100" s="319"/>
      <c r="E100" s="319"/>
      <c r="F100" s="319"/>
      <c r="G100" s="319"/>
      <c r="H100" s="319"/>
      <c r="I100" s="319"/>
      <c r="J100" s="319"/>
      <c r="K100" s="319"/>
      <c r="L100" s="302"/>
      <c r="M100" s="279"/>
    </row>
    <row r="101" spans="1:13" s="284" customFormat="1" ht="8.25" customHeight="1" x14ac:dyDescent="0.25">
      <c r="A101" s="320"/>
      <c r="B101" s="293"/>
      <c r="C101" s="317"/>
      <c r="D101" s="317"/>
      <c r="E101" s="317"/>
      <c r="F101" s="317"/>
      <c r="G101" s="317"/>
      <c r="H101" s="317"/>
      <c r="I101" s="317"/>
      <c r="J101" s="317"/>
      <c r="K101" s="317"/>
      <c r="L101" s="302"/>
      <c r="M101" s="279"/>
    </row>
    <row r="102" spans="1:13" s="284" customFormat="1" ht="24" customHeight="1" x14ac:dyDescent="0.25">
      <c r="A102" s="323"/>
      <c r="B102" s="294"/>
      <c r="C102" s="316"/>
      <c r="D102" s="316"/>
      <c r="E102" s="316"/>
      <c r="F102" s="316"/>
      <c r="G102" s="316"/>
      <c r="H102" s="316"/>
      <c r="I102" s="316"/>
      <c r="J102" s="316"/>
      <c r="K102" s="316"/>
      <c r="L102" s="302"/>
      <c r="M102" s="279"/>
    </row>
    <row r="103" spans="1:13" s="284" customFormat="1" ht="8.25" customHeight="1" x14ac:dyDescent="0.25">
      <c r="A103" s="301"/>
      <c r="B103" s="288"/>
      <c r="C103" s="314"/>
      <c r="D103" s="314"/>
      <c r="E103" s="314"/>
      <c r="F103" s="314"/>
      <c r="G103" s="314"/>
      <c r="H103" s="314"/>
      <c r="I103" s="314"/>
      <c r="J103" s="314"/>
      <c r="K103" s="314"/>
      <c r="L103" s="302"/>
      <c r="M103" s="279"/>
    </row>
    <row r="104" spans="1:13" s="284" customFormat="1" ht="24" customHeight="1" x14ac:dyDescent="0.25">
      <c r="A104" s="324"/>
      <c r="B104" s="296"/>
      <c r="C104" s="316"/>
      <c r="D104" s="316"/>
      <c r="E104" s="316"/>
      <c r="F104" s="316"/>
      <c r="G104" s="316"/>
      <c r="H104" s="316"/>
      <c r="I104" s="316"/>
      <c r="J104" s="316"/>
      <c r="K104" s="316"/>
      <c r="L104" s="302"/>
      <c r="M104" s="279"/>
    </row>
    <row r="105" spans="1:13" s="284" customFormat="1" ht="8.25" customHeight="1" x14ac:dyDescent="0.25">
      <c r="A105" s="301"/>
      <c r="B105" s="288"/>
      <c r="C105" s="317"/>
      <c r="D105" s="317"/>
      <c r="E105" s="317"/>
      <c r="F105" s="317"/>
      <c r="G105" s="317"/>
      <c r="H105" s="317"/>
      <c r="I105" s="317"/>
      <c r="J105" s="317"/>
      <c r="K105" s="317"/>
      <c r="L105" s="302"/>
      <c r="M105" s="279"/>
    </row>
    <row r="106" spans="1:13" s="284" customFormat="1" ht="20.100000000000001" customHeight="1" x14ac:dyDescent="0.25">
      <c r="A106" s="325"/>
      <c r="B106" s="297"/>
      <c r="C106" s="319"/>
      <c r="D106" s="319"/>
      <c r="E106" s="319"/>
      <c r="F106" s="319"/>
      <c r="G106" s="319"/>
      <c r="H106" s="319"/>
      <c r="I106" s="319"/>
      <c r="J106" s="319"/>
      <c r="K106" s="319"/>
      <c r="L106" s="302"/>
      <c r="M106" s="279"/>
    </row>
    <row r="107" spans="1:13" s="284" customFormat="1" ht="8.25" customHeight="1" x14ac:dyDescent="0.25">
      <c r="A107" s="320"/>
      <c r="B107" s="288"/>
      <c r="C107" s="317"/>
      <c r="D107" s="317"/>
      <c r="E107" s="317"/>
      <c r="F107" s="317"/>
      <c r="G107" s="317"/>
      <c r="H107" s="317"/>
      <c r="I107" s="317"/>
      <c r="J107" s="317"/>
      <c r="K107" s="317"/>
      <c r="L107" s="302"/>
      <c r="M107" s="279"/>
    </row>
    <row r="108" spans="1:13" s="284" customFormat="1" ht="20.100000000000001" customHeight="1" x14ac:dyDescent="0.25">
      <c r="A108" s="326"/>
      <c r="B108" s="298"/>
      <c r="C108" s="319"/>
      <c r="D108" s="319"/>
      <c r="E108" s="319"/>
      <c r="F108" s="319"/>
      <c r="G108" s="319"/>
      <c r="H108" s="319"/>
      <c r="I108" s="319"/>
      <c r="J108" s="319"/>
      <c r="K108" s="319"/>
      <c r="L108" s="302"/>
      <c r="M108" s="279"/>
    </row>
    <row r="109" spans="1:13" s="284" customFormat="1" ht="8.25" customHeight="1" x14ac:dyDescent="0.25">
      <c r="A109" s="320"/>
      <c r="B109" s="288"/>
      <c r="C109" s="317"/>
      <c r="D109" s="317"/>
      <c r="E109" s="317"/>
      <c r="F109" s="317"/>
      <c r="G109" s="317"/>
      <c r="H109" s="317"/>
      <c r="I109" s="317"/>
      <c r="J109" s="317"/>
      <c r="K109" s="317"/>
      <c r="L109" s="302"/>
      <c r="M109" s="279"/>
    </row>
    <row r="110" spans="1:13" s="284" customFormat="1" ht="20.100000000000001" customHeight="1" x14ac:dyDescent="0.25">
      <c r="A110" s="325"/>
      <c r="B110" s="294"/>
      <c r="C110" s="319"/>
      <c r="D110" s="319"/>
      <c r="E110" s="319"/>
      <c r="F110" s="319"/>
      <c r="G110" s="319"/>
      <c r="H110" s="319"/>
      <c r="I110" s="319"/>
      <c r="J110" s="319"/>
      <c r="K110" s="319"/>
      <c r="L110" s="302"/>
      <c r="M110" s="279"/>
    </row>
    <row r="111" spans="1:13" s="284" customFormat="1" ht="8.25" customHeight="1" x14ac:dyDescent="0.25">
      <c r="A111" s="320"/>
      <c r="B111" s="288"/>
      <c r="C111" s="317"/>
      <c r="D111" s="317"/>
      <c r="E111" s="317"/>
      <c r="F111" s="317"/>
      <c r="G111" s="317"/>
      <c r="H111" s="317"/>
      <c r="I111" s="317"/>
      <c r="J111" s="317"/>
      <c r="K111" s="317"/>
      <c r="L111" s="302"/>
      <c r="M111" s="279"/>
    </row>
    <row r="112" spans="1:13" s="284" customFormat="1" ht="20.100000000000001" customHeight="1" x14ac:dyDescent="0.25">
      <c r="A112" s="326"/>
      <c r="B112" s="294"/>
      <c r="C112" s="319"/>
      <c r="D112" s="319"/>
      <c r="E112" s="319"/>
      <c r="F112" s="319"/>
      <c r="G112" s="319"/>
      <c r="H112" s="319"/>
      <c r="I112" s="319"/>
      <c r="J112" s="319"/>
      <c r="K112" s="319"/>
      <c r="L112" s="302"/>
      <c r="M112" s="279"/>
    </row>
    <row r="113" spans="1:13" s="284" customFormat="1" ht="8.25" customHeight="1" x14ac:dyDescent="0.25">
      <c r="A113" s="301"/>
      <c r="B113" s="288"/>
      <c r="C113" s="314"/>
      <c r="D113" s="314"/>
      <c r="E113" s="314"/>
      <c r="F113" s="314"/>
      <c r="G113" s="314"/>
      <c r="H113" s="314"/>
      <c r="I113" s="314"/>
      <c r="J113" s="314"/>
      <c r="K113" s="314"/>
      <c r="L113" s="302"/>
      <c r="M113" s="279"/>
    </row>
    <row r="114" spans="1:13" s="284" customFormat="1" ht="24" customHeight="1" x14ac:dyDescent="0.25">
      <c r="A114" s="327"/>
      <c r="B114" s="286"/>
      <c r="C114" s="328"/>
      <c r="D114" s="328"/>
      <c r="E114" s="328"/>
      <c r="F114" s="328"/>
      <c r="G114" s="328"/>
      <c r="H114" s="328"/>
      <c r="I114" s="328"/>
      <c r="J114" s="328"/>
      <c r="K114" s="328"/>
      <c r="L114" s="302"/>
      <c r="M114" s="279"/>
    </row>
    <row r="115" spans="1:13" s="284" customFormat="1" ht="8.25" customHeight="1" x14ac:dyDescent="0.25">
      <c r="A115" s="301"/>
      <c r="B115" s="288"/>
      <c r="C115" s="314"/>
      <c r="D115" s="314"/>
      <c r="E115" s="314"/>
      <c r="F115" s="314"/>
      <c r="G115" s="314"/>
      <c r="H115" s="314"/>
      <c r="I115" s="314"/>
      <c r="J115" s="314"/>
      <c r="K115" s="314"/>
      <c r="L115" s="302"/>
      <c r="M115" s="279"/>
    </row>
    <row r="116" spans="1:13" s="284" customFormat="1" ht="24" customHeight="1" x14ac:dyDescent="0.25">
      <c r="A116" s="323"/>
      <c r="B116" s="294"/>
      <c r="C116" s="316"/>
      <c r="D116" s="316"/>
      <c r="E116" s="316"/>
      <c r="F116" s="316"/>
      <c r="G116" s="316"/>
      <c r="H116" s="316"/>
      <c r="I116" s="316"/>
      <c r="J116" s="316"/>
      <c r="K116" s="316"/>
      <c r="L116" s="302"/>
      <c r="M116" s="279"/>
    </row>
    <row r="117" spans="1:13" s="284" customFormat="1" ht="8.25" customHeight="1" x14ac:dyDescent="0.25">
      <c r="A117" s="301"/>
      <c r="B117" s="288"/>
      <c r="C117" s="314"/>
      <c r="D117" s="314"/>
      <c r="E117" s="314"/>
      <c r="F117" s="314"/>
      <c r="G117" s="314"/>
      <c r="H117" s="314"/>
      <c r="I117" s="314"/>
      <c r="J117" s="314"/>
      <c r="K117" s="314"/>
      <c r="L117" s="302"/>
      <c r="M117" s="279"/>
    </row>
    <row r="118" spans="1:13" s="284" customFormat="1" ht="24" customHeight="1" x14ac:dyDescent="0.25">
      <c r="A118" s="329"/>
      <c r="B118" s="298"/>
      <c r="C118" s="328"/>
      <c r="D118" s="328"/>
      <c r="E118" s="328"/>
      <c r="F118" s="328"/>
      <c r="G118" s="328"/>
      <c r="H118" s="328"/>
      <c r="I118" s="328"/>
      <c r="J118" s="328"/>
      <c r="K118" s="328"/>
      <c r="L118" s="302"/>
      <c r="M118" s="279"/>
    </row>
    <row r="119" spans="1:13" s="284" customFormat="1" ht="8.25" customHeight="1" x14ac:dyDescent="0.25">
      <c r="A119" s="320"/>
      <c r="B119" s="293"/>
      <c r="C119" s="317"/>
      <c r="D119" s="317"/>
      <c r="E119" s="317"/>
      <c r="F119" s="317"/>
      <c r="G119" s="317"/>
      <c r="H119" s="317"/>
      <c r="I119" s="317"/>
      <c r="J119" s="317"/>
      <c r="K119" s="317"/>
      <c r="L119" s="302"/>
      <c r="M119" s="279"/>
    </row>
    <row r="120" spans="1:13" s="284" customFormat="1" ht="20.100000000000001" customHeight="1" x14ac:dyDescent="0.25">
      <c r="A120" s="330"/>
      <c r="B120" s="303"/>
      <c r="C120" s="319"/>
      <c r="D120" s="319"/>
      <c r="E120" s="319"/>
      <c r="F120" s="319"/>
      <c r="G120" s="319"/>
      <c r="H120" s="319"/>
      <c r="I120" s="319"/>
      <c r="J120" s="319"/>
      <c r="K120" s="319"/>
      <c r="L120" s="302"/>
      <c r="M120" s="279"/>
    </row>
    <row r="121" spans="1:13" s="284" customFormat="1" ht="8.25" customHeight="1" x14ac:dyDescent="0.25">
      <c r="A121" s="301"/>
      <c r="B121" s="288"/>
      <c r="C121" s="314"/>
      <c r="D121" s="314"/>
      <c r="E121" s="314"/>
      <c r="F121" s="314"/>
      <c r="G121" s="314"/>
      <c r="H121" s="314"/>
      <c r="I121" s="314"/>
      <c r="J121" s="314"/>
      <c r="K121" s="314"/>
      <c r="L121" s="302"/>
      <c r="M121" s="279"/>
    </row>
    <row r="122" spans="1:13" s="284" customFormat="1" ht="20.100000000000001" customHeight="1" x14ac:dyDescent="0.25">
      <c r="A122" s="331"/>
      <c r="B122" s="306"/>
      <c r="C122" s="319"/>
      <c r="D122" s="319"/>
      <c r="E122" s="319"/>
      <c r="F122" s="319"/>
      <c r="G122" s="319"/>
      <c r="H122" s="319"/>
      <c r="I122" s="319"/>
      <c r="J122" s="319"/>
      <c r="K122" s="319"/>
      <c r="L122" s="302"/>
      <c r="M122" s="279"/>
    </row>
    <row r="123" spans="1:13" s="284" customFormat="1" ht="8.25" customHeight="1" x14ac:dyDescent="0.25">
      <c r="A123" s="320"/>
      <c r="B123" s="293"/>
      <c r="C123" s="317"/>
      <c r="D123" s="317"/>
      <c r="E123" s="317"/>
      <c r="F123" s="317"/>
      <c r="G123" s="317"/>
      <c r="H123" s="317"/>
      <c r="I123" s="317"/>
      <c r="J123" s="317"/>
      <c r="K123" s="317"/>
      <c r="L123" s="302"/>
      <c r="M123" s="279"/>
    </row>
    <row r="124" spans="1:13" s="284" customFormat="1" ht="20.100000000000001" customHeight="1" x14ac:dyDescent="0.25">
      <c r="A124" s="330"/>
      <c r="B124" s="303"/>
      <c r="C124" s="319"/>
      <c r="D124" s="319"/>
      <c r="E124" s="319"/>
      <c r="F124" s="319"/>
      <c r="G124" s="319"/>
      <c r="H124" s="319"/>
      <c r="I124" s="319"/>
      <c r="J124" s="319"/>
      <c r="K124" s="319"/>
      <c r="L124" s="302"/>
      <c r="M124" s="279"/>
    </row>
    <row r="125" spans="1:13" s="284" customFormat="1" ht="8.25" customHeight="1" x14ac:dyDescent="0.25">
      <c r="A125" s="320"/>
      <c r="B125" s="293"/>
      <c r="C125" s="317"/>
      <c r="D125" s="317"/>
      <c r="E125" s="317"/>
      <c r="F125" s="317"/>
      <c r="G125" s="317"/>
      <c r="H125" s="317"/>
      <c r="I125" s="317"/>
      <c r="J125" s="317"/>
      <c r="K125" s="317"/>
      <c r="L125" s="302"/>
      <c r="M125" s="279"/>
    </row>
    <row r="126" spans="1:13" s="284" customFormat="1" ht="20.100000000000001" customHeight="1" x14ac:dyDescent="0.25">
      <c r="A126" s="331"/>
      <c r="B126" s="303"/>
      <c r="C126" s="319"/>
      <c r="D126" s="319"/>
      <c r="E126" s="319"/>
      <c r="F126" s="319"/>
      <c r="G126" s="319"/>
      <c r="H126" s="319"/>
      <c r="I126" s="319"/>
      <c r="J126" s="319"/>
      <c r="K126" s="319"/>
      <c r="L126" s="302"/>
      <c r="M126" s="279"/>
    </row>
    <row r="127" spans="1:13" s="284" customFormat="1" ht="8.25" customHeight="1" x14ac:dyDescent="0.25">
      <c r="A127" s="301"/>
      <c r="B127" s="288"/>
      <c r="C127" s="314"/>
      <c r="D127" s="314"/>
      <c r="E127" s="314"/>
      <c r="F127" s="314"/>
      <c r="G127" s="314"/>
      <c r="H127" s="314"/>
      <c r="I127" s="314"/>
      <c r="J127" s="314"/>
      <c r="K127" s="314"/>
      <c r="L127" s="302"/>
      <c r="M127" s="279"/>
    </row>
    <row r="128" spans="1:13" s="284" customFormat="1" ht="24" customHeight="1" x14ac:dyDescent="0.25">
      <c r="A128" s="329"/>
      <c r="B128" s="298"/>
      <c r="C128" s="328"/>
      <c r="D128" s="328"/>
      <c r="E128" s="328"/>
      <c r="F128" s="328"/>
      <c r="G128" s="328"/>
      <c r="H128" s="328"/>
      <c r="I128" s="328"/>
      <c r="J128" s="328"/>
      <c r="K128" s="328"/>
      <c r="L128" s="302"/>
      <c r="M128" s="279"/>
    </row>
  </sheetData>
  <sheetProtection algorithmName="SHA-512" hashValue="YrTUUAeJEgMt+ruI8DxHA9/cJurjqzkcR1emDBRpcgDBXYGGv0ZBfYHaY7U40TyMNq078/p1E77Xg7Q3ygJ8+g==" saltValue="oDU5a0W8VmOPoJTc9d1RTg==" spinCount="100000" sheet="1" objects="1" scenarios="1"/>
  <mergeCells count="26">
    <mergeCell ref="H55:J55"/>
    <mergeCell ref="H58:J58"/>
    <mergeCell ref="H61:J61"/>
    <mergeCell ref="H57:J57"/>
    <mergeCell ref="H69:J69"/>
    <mergeCell ref="H66:J66"/>
    <mergeCell ref="H63:J63"/>
    <mergeCell ref="H67:J67"/>
    <mergeCell ref="H64:J64"/>
    <mergeCell ref="H65:J65"/>
    <mergeCell ref="A74:J74"/>
    <mergeCell ref="C3:F3"/>
    <mergeCell ref="H3:K3"/>
    <mergeCell ref="C41:F41"/>
    <mergeCell ref="H54:J54"/>
    <mergeCell ref="H46:J46"/>
    <mergeCell ref="H44:J44"/>
    <mergeCell ref="H43:J43"/>
    <mergeCell ref="H47:J47"/>
    <mergeCell ref="H48:J48"/>
    <mergeCell ref="H49:J49"/>
    <mergeCell ref="H50:J50"/>
    <mergeCell ref="H51:J51"/>
    <mergeCell ref="H52:J52"/>
    <mergeCell ref="H70:J70"/>
    <mergeCell ref="H60:J60"/>
  </mergeCells>
  <pageMargins left="0.23622047244094488" right="0.23622047244094488" top="0.39370078740157483" bottom="0.39370078740157483" header="0.31496062992125984" footer="0.31496062992125984"/>
  <pageSetup paperSize="9" orientation="landscape" r:id="rId1"/>
  <headerFoot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G723"/>
  <sheetViews>
    <sheetView showGridLines="0" showRowColHeaders="0" tabSelected="1" topLeftCell="A46" zoomScaleNormal="100" workbookViewId="0">
      <selection activeCell="A50" sqref="A50"/>
    </sheetView>
  </sheetViews>
  <sheetFormatPr baseColWidth="10" defaultColWidth="9" defaultRowHeight="15.75" x14ac:dyDescent="0.25"/>
  <cols>
    <col min="1" max="1" width="8.5" bestFit="1" customWidth="1"/>
    <col min="2" max="2" width="56" customWidth="1"/>
    <col min="3" max="3" width="9.25" style="453" customWidth="1"/>
  </cols>
  <sheetData>
    <row r="1" spans="1:5" ht="23.25" x14ac:dyDescent="0.35">
      <c r="A1" s="432" t="s">
        <v>138</v>
      </c>
      <c r="B1" s="432"/>
      <c r="C1" s="452"/>
      <c r="E1" s="546" t="s">
        <v>640</v>
      </c>
    </row>
    <row r="2" spans="1:5" ht="296.25" customHeight="1" x14ac:dyDescent="0.25">
      <c r="A2" s="733" t="s">
        <v>365</v>
      </c>
      <c r="B2" s="733"/>
      <c r="C2" s="733"/>
    </row>
    <row r="3" spans="1:5" ht="231" customHeight="1" x14ac:dyDescent="0.25">
      <c r="A3" s="733"/>
      <c r="B3" s="733"/>
      <c r="C3" s="733"/>
    </row>
    <row r="4" spans="1:5" x14ac:dyDescent="0.25">
      <c r="A4" s="426"/>
      <c r="B4" s="426"/>
      <c r="C4" s="426"/>
    </row>
    <row r="16" spans="1:5" x14ac:dyDescent="0.25">
      <c r="A16" s="932" t="s">
        <v>339</v>
      </c>
      <c r="B16" s="932"/>
      <c r="C16" s="932"/>
    </row>
    <row r="41" spans="1:7" x14ac:dyDescent="0.25">
      <c r="A41" s="431" t="s">
        <v>61</v>
      </c>
      <c r="B41" s="431"/>
      <c r="C41" s="454"/>
      <c r="G41" s="427"/>
    </row>
    <row r="42" spans="1:7" ht="16.5" thickBot="1" x14ac:dyDescent="0.3">
      <c r="A42" s="430" t="s">
        <v>347</v>
      </c>
      <c r="B42" s="430"/>
      <c r="C42" s="455"/>
    </row>
    <row r="43" spans="1:7" ht="26.25" thickBot="1" x14ac:dyDescent="0.3">
      <c r="A43" s="418" t="s">
        <v>340</v>
      </c>
      <c r="B43" s="419" t="s">
        <v>13</v>
      </c>
      <c r="C43" s="456" t="s">
        <v>341</v>
      </c>
      <c r="D43" s="546" t="s">
        <v>641</v>
      </c>
    </row>
    <row r="44" spans="1:7" ht="51.75" thickBot="1" x14ac:dyDescent="0.3">
      <c r="A44" s="569" t="s">
        <v>62</v>
      </c>
      <c r="B44" s="420" t="s">
        <v>342</v>
      </c>
      <c r="C44" s="457">
        <v>5</v>
      </c>
    </row>
    <row r="45" spans="1:7" ht="90" thickBot="1" x14ac:dyDescent="0.3">
      <c r="A45" s="570" t="s">
        <v>26</v>
      </c>
      <c r="B45" s="421" t="s">
        <v>343</v>
      </c>
      <c r="C45" s="458">
        <v>2.5</v>
      </c>
    </row>
    <row r="46" spans="1:7" ht="102.75" thickBot="1" x14ac:dyDescent="0.3">
      <c r="A46" s="571" t="s">
        <v>22</v>
      </c>
      <c r="B46" s="422" t="s">
        <v>344</v>
      </c>
      <c r="C46" s="459">
        <v>1</v>
      </c>
    </row>
    <row r="47" spans="1:7" ht="90" thickBot="1" x14ac:dyDescent="0.3">
      <c r="A47" s="572" t="s">
        <v>44</v>
      </c>
      <c r="B47" s="423" t="s">
        <v>345</v>
      </c>
      <c r="C47" s="460">
        <v>0.6</v>
      </c>
    </row>
    <row r="48" spans="1:7" ht="102.75" thickBot="1" x14ac:dyDescent="0.3">
      <c r="A48" s="424" t="s">
        <v>92</v>
      </c>
      <c r="B48" s="425" t="s">
        <v>346</v>
      </c>
      <c r="C48" s="461">
        <v>0.1</v>
      </c>
    </row>
    <row r="50" spans="1:4" x14ac:dyDescent="0.25">
      <c r="A50" s="1" t="s">
        <v>63</v>
      </c>
    </row>
    <row r="51" spans="1:4" ht="16.5" thickBot="1" x14ac:dyDescent="0.3">
      <c r="A51" t="s">
        <v>351</v>
      </c>
    </row>
    <row r="52" spans="1:4" ht="26.25" thickBot="1" x14ac:dyDescent="0.3">
      <c r="A52" s="418" t="s">
        <v>340</v>
      </c>
      <c r="B52" s="419" t="s">
        <v>13</v>
      </c>
      <c r="C52" s="456" t="s">
        <v>341</v>
      </c>
      <c r="D52" s="546" t="s">
        <v>641</v>
      </c>
    </row>
    <row r="53" spans="1:4" ht="39" thickBot="1" x14ac:dyDescent="0.3">
      <c r="A53" s="570" t="s">
        <v>26</v>
      </c>
      <c r="B53" s="421" t="s">
        <v>348</v>
      </c>
      <c r="C53" s="458">
        <v>1</v>
      </c>
    </row>
    <row r="54" spans="1:4" ht="39" thickBot="1" x14ac:dyDescent="0.3">
      <c r="A54" s="571" t="s">
        <v>22</v>
      </c>
      <c r="B54" s="422" t="s">
        <v>349</v>
      </c>
      <c r="C54" s="459">
        <v>0.5</v>
      </c>
    </row>
    <row r="55" spans="1:4" ht="39" thickBot="1" x14ac:dyDescent="0.3">
      <c r="A55" s="428" t="s">
        <v>44</v>
      </c>
      <c r="B55" s="429" t="s">
        <v>350</v>
      </c>
      <c r="C55" s="462">
        <v>0</v>
      </c>
    </row>
    <row r="57" spans="1:4" x14ac:dyDescent="0.25">
      <c r="A57" s="1" t="s">
        <v>64</v>
      </c>
    </row>
    <row r="58" spans="1:4" ht="16.5" thickBot="1" x14ac:dyDescent="0.3">
      <c r="A58" t="s">
        <v>357</v>
      </c>
    </row>
    <row r="59" spans="1:4" ht="26.25" thickBot="1" x14ac:dyDescent="0.3">
      <c r="A59" s="418" t="s">
        <v>340</v>
      </c>
      <c r="B59" s="419" t="s">
        <v>13</v>
      </c>
      <c r="C59" s="456" t="s">
        <v>341</v>
      </c>
      <c r="D59" s="546" t="s">
        <v>640</v>
      </c>
    </row>
    <row r="60" spans="1:4" ht="78.75" thickBot="1" x14ac:dyDescent="0.3">
      <c r="A60" s="570" t="s">
        <v>26</v>
      </c>
      <c r="B60" s="421" t="s">
        <v>352</v>
      </c>
      <c r="C60" s="458">
        <v>0.8</v>
      </c>
    </row>
    <row r="61" spans="1:4" ht="53.25" thickBot="1" x14ac:dyDescent="0.3">
      <c r="A61" s="571" t="s">
        <v>22</v>
      </c>
      <c r="B61" s="422" t="s">
        <v>353</v>
      </c>
      <c r="C61" s="459">
        <v>0.5</v>
      </c>
    </row>
    <row r="62" spans="1:4" ht="39" thickBot="1" x14ac:dyDescent="0.3">
      <c r="A62" s="433" t="s">
        <v>44</v>
      </c>
      <c r="B62" s="434" t="s">
        <v>354</v>
      </c>
      <c r="C62" s="463">
        <v>0</v>
      </c>
    </row>
    <row r="63" spans="1:4" ht="26.25" thickBot="1" x14ac:dyDescent="0.3">
      <c r="A63" s="435" t="s">
        <v>355</v>
      </c>
      <c r="B63" s="436" t="s">
        <v>356</v>
      </c>
      <c r="C63" s="464">
        <v>0</v>
      </c>
    </row>
    <row r="69" spans="1:4" x14ac:dyDescent="0.25">
      <c r="A69" s="1" t="s">
        <v>363</v>
      </c>
    </row>
    <row r="70" spans="1:4" ht="16.5" thickBot="1" x14ac:dyDescent="0.3">
      <c r="A70" t="s">
        <v>362</v>
      </c>
    </row>
    <row r="71" spans="1:4" ht="26.25" thickBot="1" x14ac:dyDescent="0.3">
      <c r="A71" s="418" t="s">
        <v>340</v>
      </c>
      <c r="B71" s="419" t="s">
        <v>13</v>
      </c>
      <c r="C71" s="456" t="s">
        <v>341</v>
      </c>
      <c r="D71" s="546" t="s">
        <v>641</v>
      </c>
    </row>
    <row r="72" spans="1:4" ht="77.25" thickBot="1" x14ac:dyDescent="0.3">
      <c r="A72" s="570" t="s">
        <v>26</v>
      </c>
      <c r="B72" s="421" t="s">
        <v>358</v>
      </c>
      <c r="C72" s="458">
        <v>4</v>
      </c>
    </row>
    <row r="73" spans="1:4" ht="64.5" thickBot="1" x14ac:dyDescent="0.3">
      <c r="A73" s="571" t="s">
        <v>22</v>
      </c>
      <c r="B73" s="422" t="s">
        <v>359</v>
      </c>
      <c r="C73" s="459">
        <v>1</v>
      </c>
    </row>
    <row r="74" spans="1:4" ht="64.5" thickBot="1" x14ac:dyDescent="0.3">
      <c r="A74" s="433" t="s">
        <v>44</v>
      </c>
      <c r="B74" s="434" t="s">
        <v>360</v>
      </c>
      <c r="C74" s="463">
        <v>0</v>
      </c>
    </row>
    <row r="75" spans="1:4" ht="26.25" thickBot="1" x14ac:dyDescent="0.3">
      <c r="A75" s="435" t="s">
        <v>355</v>
      </c>
      <c r="B75" s="436" t="s">
        <v>361</v>
      </c>
      <c r="C75" s="464">
        <v>0</v>
      </c>
    </row>
    <row r="78" spans="1:4" ht="23.25" x14ac:dyDescent="0.35">
      <c r="A78" s="432" t="s">
        <v>135</v>
      </c>
      <c r="D78" s="546" t="s">
        <v>641</v>
      </c>
    </row>
    <row r="79" spans="1:4" ht="345" customHeight="1" x14ac:dyDescent="0.25">
      <c r="A79" s="732" t="s">
        <v>364</v>
      </c>
      <c r="B79" s="933"/>
      <c r="C79" s="933"/>
    </row>
    <row r="83" spans="1:1" x14ac:dyDescent="0.25">
      <c r="A83" s="1" t="s">
        <v>366</v>
      </c>
    </row>
    <row r="100" spans="1:4" x14ac:dyDescent="0.25">
      <c r="A100" s="1" t="s">
        <v>371</v>
      </c>
    </row>
    <row r="101" spans="1:4" ht="16.5" thickBot="1" x14ac:dyDescent="0.3">
      <c r="A101" t="s">
        <v>370</v>
      </c>
    </row>
    <row r="102" spans="1:4" ht="26.25" thickBot="1" x14ac:dyDescent="0.3">
      <c r="A102" s="438" t="s">
        <v>340</v>
      </c>
      <c r="B102" s="439" t="s">
        <v>13</v>
      </c>
      <c r="C102" s="465" t="s">
        <v>341</v>
      </c>
      <c r="D102" s="546" t="s">
        <v>640</v>
      </c>
    </row>
    <row r="103" spans="1:4" ht="51.75" thickBot="1" x14ac:dyDescent="0.3">
      <c r="A103" s="570" t="s">
        <v>26</v>
      </c>
      <c r="B103" s="440" t="s">
        <v>367</v>
      </c>
      <c r="C103" s="466">
        <v>2</v>
      </c>
    </row>
    <row r="104" spans="1:4" ht="51.75" thickBot="1" x14ac:dyDescent="0.3">
      <c r="A104" s="571" t="s">
        <v>22</v>
      </c>
      <c r="B104" s="441" t="s">
        <v>368</v>
      </c>
      <c r="C104" s="467">
        <v>0.8</v>
      </c>
    </row>
    <row r="105" spans="1:4" ht="64.5" thickBot="1" x14ac:dyDescent="0.3">
      <c r="A105" s="572" t="s">
        <v>44</v>
      </c>
      <c r="B105" s="442" t="s">
        <v>369</v>
      </c>
      <c r="C105" s="468">
        <v>0.1</v>
      </c>
    </row>
    <row r="107" spans="1:4" x14ac:dyDescent="0.25">
      <c r="A107" s="1" t="s">
        <v>67</v>
      </c>
    </row>
    <row r="108" spans="1:4" ht="16.5" thickBot="1" x14ac:dyDescent="0.3">
      <c r="A108" t="s">
        <v>375</v>
      </c>
    </row>
    <row r="109" spans="1:4" ht="26.25" thickBot="1" x14ac:dyDescent="0.3">
      <c r="A109" s="438" t="s">
        <v>340</v>
      </c>
      <c r="B109" s="439" t="s">
        <v>13</v>
      </c>
      <c r="C109" s="465" t="s">
        <v>341</v>
      </c>
      <c r="D109" s="546" t="s">
        <v>640</v>
      </c>
    </row>
    <row r="110" spans="1:4" ht="26.25" thickBot="1" x14ac:dyDescent="0.3">
      <c r="A110" s="570" t="s">
        <v>26</v>
      </c>
      <c r="B110" s="440" t="s">
        <v>372</v>
      </c>
      <c r="C110" s="466">
        <v>0.5</v>
      </c>
    </row>
    <row r="111" spans="1:4" ht="39" thickBot="1" x14ac:dyDescent="0.3">
      <c r="A111" s="571" t="s">
        <v>22</v>
      </c>
      <c r="B111" s="441" t="s">
        <v>373</v>
      </c>
      <c r="C111" s="467">
        <v>0.1</v>
      </c>
    </row>
    <row r="112" spans="1:4" ht="26.25" thickBot="1" x14ac:dyDescent="0.3">
      <c r="A112" s="572" t="s">
        <v>44</v>
      </c>
      <c r="B112" s="442" t="s">
        <v>374</v>
      </c>
      <c r="C112" s="468">
        <v>0</v>
      </c>
    </row>
    <row r="118" spans="1:4" ht="23.25" x14ac:dyDescent="0.35">
      <c r="A118" s="683" t="s">
        <v>376</v>
      </c>
      <c r="B118" s="682"/>
      <c r="D118" s="546" t="s">
        <v>640</v>
      </c>
    </row>
    <row r="119" spans="1:4" ht="32.25" customHeight="1" x14ac:dyDescent="0.25">
      <c r="A119" s="934" t="s">
        <v>686</v>
      </c>
      <c r="B119" s="935"/>
      <c r="C119" s="935"/>
    </row>
    <row r="121" spans="1:4" x14ac:dyDescent="0.25">
      <c r="A121" s="684" t="s">
        <v>366</v>
      </c>
    </row>
    <row r="144" spans="1:1" x14ac:dyDescent="0.25">
      <c r="A144" s="1" t="s">
        <v>688</v>
      </c>
    </row>
    <row r="145" spans="1:4" ht="16.5" thickBot="1" x14ac:dyDescent="0.3">
      <c r="A145" t="s">
        <v>689</v>
      </c>
    </row>
    <row r="146" spans="1:4" ht="26.25" thickBot="1" x14ac:dyDescent="0.3">
      <c r="A146" s="444" t="s">
        <v>340</v>
      </c>
      <c r="B146" s="445" t="s">
        <v>377</v>
      </c>
      <c r="C146" s="469" t="s">
        <v>341</v>
      </c>
      <c r="D146" s="546" t="s">
        <v>640</v>
      </c>
    </row>
    <row r="147" spans="1:4" ht="39" thickBot="1" x14ac:dyDescent="0.3">
      <c r="A147" s="569" t="s">
        <v>62</v>
      </c>
      <c r="B147" s="446" t="s">
        <v>378</v>
      </c>
      <c r="C147" s="470">
        <v>100</v>
      </c>
    </row>
    <row r="148" spans="1:4" ht="51.75" thickBot="1" x14ac:dyDescent="0.3">
      <c r="A148" s="570" t="s">
        <v>26</v>
      </c>
      <c r="B148" s="440" t="s">
        <v>379</v>
      </c>
      <c r="C148" s="466">
        <v>75</v>
      </c>
    </row>
    <row r="149" spans="1:4" ht="39" thickBot="1" x14ac:dyDescent="0.3">
      <c r="A149" s="571" t="s">
        <v>22</v>
      </c>
      <c r="B149" s="441" t="s">
        <v>380</v>
      </c>
      <c r="C149" s="467">
        <v>40</v>
      </c>
    </row>
    <row r="150" spans="1:4" ht="51.75" thickBot="1" x14ac:dyDescent="0.3">
      <c r="A150" s="572" t="s">
        <v>44</v>
      </c>
      <c r="B150" s="442" t="s">
        <v>381</v>
      </c>
      <c r="C150" s="468">
        <v>5</v>
      </c>
    </row>
    <row r="151" spans="1:4" ht="51.75" thickBot="1" x14ac:dyDescent="0.3">
      <c r="A151" s="424" t="s">
        <v>94</v>
      </c>
      <c r="B151" s="447" t="s">
        <v>382</v>
      </c>
      <c r="C151" s="471">
        <v>0</v>
      </c>
    </row>
    <row r="155" spans="1:4" ht="23.25" x14ac:dyDescent="0.35">
      <c r="A155" s="683" t="s">
        <v>383</v>
      </c>
      <c r="B155" s="681"/>
      <c r="D155" s="546" t="s">
        <v>640</v>
      </c>
    </row>
    <row r="156" spans="1:4" ht="170.25" customHeight="1" x14ac:dyDescent="0.25">
      <c r="A156" s="934" t="s">
        <v>687</v>
      </c>
      <c r="B156" s="935"/>
      <c r="C156" s="935"/>
    </row>
    <row r="157" spans="1:4" ht="102.75" customHeight="1" x14ac:dyDescent="0.25">
      <c r="A157" s="934" t="s">
        <v>384</v>
      </c>
      <c r="B157" s="934"/>
      <c r="C157" s="934"/>
    </row>
    <row r="159" spans="1:4" x14ac:dyDescent="0.25">
      <c r="A159" s="684" t="s">
        <v>366</v>
      </c>
    </row>
    <row r="182" spans="1:4" x14ac:dyDescent="0.25">
      <c r="A182" s="1" t="s">
        <v>688</v>
      </c>
    </row>
    <row r="183" spans="1:4" ht="16.5" thickBot="1" x14ac:dyDescent="0.3">
      <c r="A183" t="s">
        <v>690</v>
      </c>
    </row>
    <row r="184" spans="1:4" ht="26.25" thickBot="1" x14ac:dyDescent="0.3">
      <c r="A184" s="444" t="s">
        <v>340</v>
      </c>
      <c r="B184" s="445" t="s">
        <v>377</v>
      </c>
      <c r="C184" s="469" t="s">
        <v>341</v>
      </c>
      <c r="D184" s="546" t="s">
        <v>640</v>
      </c>
    </row>
    <row r="185" spans="1:4" ht="21.75" customHeight="1" x14ac:dyDescent="0.25">
      <c r="A185" s="936" t="s">
        <v>62</v>
      </c>
      <c r="B185" s="938" t="s">
        <v>378</v>
      </c>
      <c r="C185" s="940">
        <v>100</v>
      </c>
    </row>
    <row r="186" spans="1:4" ht="16.5" thickBot="1" x14ac:dyDescent="0.3">
      <c r="A186" s="937"/>
      <c r="B186" s="939"/>
      <c r="C186" s="941"/>
    </row>
    <row r="187" spans="1:4" ht="51.75" thickBot="1" x14ac:dyDescent="0.3">
      <c r="A187" s="570" t="s">
        <v>26</v>
      </c>
      <c r="B187" s="440" t="s">
        <v>379</v>
      </c>
      <c r="C187" s="466">
        <v>75</v>
      </c>
    </row>
    <row r="188" spans="1:4" ht="39" thickBot="1" x14ac:dyDescent="0.3">
      <c r="A188" s="571" t="s">
        <v>22</v>
      </c>
      <c r="B188" s="441" t="s">
        <v>380</v>
      </c>
      <c r="C188" s="467">
        <v>40</v>
      </c>
    </row>
    <row r="189" spans="1:4" ht="51.75" thickBot="1" x14ac:dyDescent="0.3">
      <c r="A189" s="572" t="s">
        <v>44</v>
      </c>
      <c r="B189" s="442" t="s">
        <v>381</v>
      </c>
      <c r="C189" s="468">
        <v>5</v>
      </c>
    </row>
    <row r="190" spans="1:4" ht="51.75" thickBot="1" x14ac:dyDescent="0.3">
      <c r="A190" s="424" t="s">
        <v>94</v>
      </c>
      <c r="B190" s="447" t="s">
        <v>382</v>
      </c>
      <c r="C190" s="471">
        <v>0</v>
      </c>
    </row>
    <row r="194" spans="1:4" ht="23.25" x14ac:dyDescent="0.35">
      <c r="A194" s="443" t="s">
        <v>315</v>
      </c>
      <c r="D194" s="546" t="s">
        <v>640</v>
      </c>
    </row>
    <row r="195" spans="1:4" ht="254.25" customHeight="1" x14ac:dyDescent="0.25">
      <c r="A195" s="732" t="s">
        <v>385</v>
      </c>
      <c r="B195" s="933"/>
      <c r="C195" s="933"/>
    </row>
    <row r="197" spans="1:4" x14ac:dyDescent="0.25">
      <c r="A197" s="1" t="s">
        <v>366</v>
      </c>
    </row>
    <row r="215" spans="1:4" x14ac:dyDescent="0.25">
      <c r="A215" s="1" t="s">
        <v>74</v>
      </c>
    </row>
    <row r="216" spans="1:4" ht="16.5" thickBot="1" x14ac:dyDescent="0.3">
      <c r="A216" t="s">
        <v>391</v>
      </c>
    </row>
    <row r="217" spans="1:4" ht="26.25" thickBot="1" x14ac:dyDescent="0.3">
      <c r="A217" s="444" t="s">
        <v>386</v>
      </c>
      <c r="B217" s="445" t="s">
        <v>13</v>
      </c>
      <c r="C217" s="469" t="s">
        <v>387</v>
      </c>
      <c r="D217" s="546" t="s">
        <v>641</v>
      </c>
    </row>
    <row r="218" spans="1:4" ht="16.5" thickBot="1" x14ac:dyDescent="0.3">
      <c r="A218" s="570" t="s">
        <v>26</v>
      </c>
      <c r="B218" s="440" t="s">
        <v>388</v>
      </c>
      <c r="C218" s="466">
        <v>0.5</v>
      </c>
    </row>
    <row r="219" spans="1:4" ht="16.5" thickBot="1" x14ac:dyDescent="0.3">
      <c r="A219" s="571" t="s">
        <v>22</v>
      </c>
      <c r="B219" s="441" t="s">
        <v>389</v>
      </c>
      <c r="C219" s="467">
        <v>0.3</v>
      </c>
    </row>
    <row r="220" spans="1:4" ht="16.5" thickBot="1" x14ac:dyDescent="0.3">
      <c r="A220" s="572" t="s">
        <v>44</v>
      </c>
      <c r="B220" s="442" t="s">
        <v>390</v>
      </c>
      <c r="C220" s="468">
        <v>0.1</v>
      </c>
    </row>
    <row r="222" spans="1:4" x14ac:dyDescent="0.25">
      <c r="A222" s="1" t="s">
        <v>75</v>
      </c>
    </row>
    <row r="223" spans="1:4" ht="16.5" thickBot="1" x14ac:dyDescent="0.3">
      <c r="A223" t="s">
        <v>395</v>
      </c>
    </row>
    <row r="224" spans="1:4" ht="26.25" thickBot="1" x14ac:dyDescent="0.3">
      <c r="A224" s="444" t="s">
        <v>386</v>
      </c>
      <c r="B224" s="445" t="s">
        <v>13</v>
      </c>
      <c r="C224" s="469" t="s">
        <v>387</v>
      </c>
      <c r="D224" s="546" t="s">
        <v>641</v>
      </c>
    </row>
    <row r="225" spans="1:4" ht="21.75" customHeight="1" x14ac:dyDescent="0.25">
      <c r="A225" s="942" t="s">
        <v>26</v>
      </c>
      <c r="B225" s="944" t="s">
        <v>392</v>
      </c>
      <c r="C225" s="946">
        <v>1</v>
      </c>
    </row>
    <row r="226" spans="1:4" ht="16.5" thickBot="1" x14ac:dyDescent="0.3">
      <c r="A226" s="943"/>
      <c r="B226" s="945"/>
      <c r="C226" s="947"/>
    </row>
    <row r="227" spans="1:4" ht="39" thickBot="1" x14ac:dyDescent="0.3">
      <c r="A227" s="571" t="s">
        <v>22</v>
      </c>
      <c r="B227" s="441" t="s">
        <v>393</v>
      </c>
      <c r="C227" s="467">
        <v>0.5</v>
      </c>
    </row>
    <row r="228" spans="1:4" ht="26.25" thickBot="1" x14ac:dyDescent="0.3">
      <c r="A228" s="572" t="s">
        <v>44</v>
      </c>
      <c r="B228" s="442" t="s">
        <v>394</v>
      </c>
      <c r="C228" s="468">
        <v>0.1</v>
      </c>
    </row>
    <row r="230" spans="1:4" x14ac:dyDescent="0.25">
      <c r="A230" s="1" t="s">
        <v>400</v>
      </c>
    </row>
    <row r="231" spans="1:4" ht="16.5" thickBot="1" x14ac:dyDescent="0.3">
      <c r="A231" t="s">
        <v>401</v>
      </c>
    </row>
    <row r="232" spans="1:4" ht="26.25" thickBot="1" x14ac:dyDescent="0.3">
      <c r="A232" s="444" t="s">
        <v>386</v>
      </c>
      <c r="B232" s="445" t="s">
        <v>13</v>
      </c>
      <c r="C232" s="469" t="s">
        <v>387</v>
      </c>
      <c r="D232" s="546" t="s">
        <v>641</v>
      </c>
    </row>
    <row r="233" spans="1:4" ht="16.5" thickBot="1" x14ac:dyDescent="0.3">
      <c r="A233" s="450" t="s">
        <v>62</v>
      </c>
      <c r="B233" s="451" t="s">
        <v>396</v>
      </c>
      <c r="C233" s="472">
        <v>1</v>
      </c>
    </row>
    <row r="234" spans="1:4" ht="26.25" thickBot="1" x14ac:dyDescent="0.3">
      <c r="A234" s="570" t="s">
        <v>26</v>
      </c>
      <c r="B234" s="440" t="s">
        <v>397</v>
      </c>
      <c r="C234" s="466">
        <v>0.5</v>
      </c>
    </row>
    <row r="235" spans="1:4" ht="16.5" thickBot="1" x14ac:dyDescent="0.3">
      <c r="A235" s="571" t="s">
        <v>22</v>
      </c>
      <c r="B235" s="441" t="s">
        <v>398</v>
      </c>
      <c r="C235" s="467">
        <v>0.1</v>
      </c>
    </row>
    <row r="236" spans="1:4" ht="26.25" thickBot="1" x14ac:dyDescent="0.3">
      <c r="A236" s="572" t="s">
        <v>44</v>
      </c>
      <c r="B236" s="442" t="s">
        <v>399</v>
      </c>
      <c r="C236" s="468">
        <v>0</v>
      </c>
    </row>
    <row r="238" spans="1:4" ht="23.25" x14ac:dyDescent="0.35">
      <c r="A238" s="443" t="s">
        <v>719</v>
      </c>
      <c r="D238" s="546" t="s">
        <v>641</v>
      </c>
    </row>
    <row r="239" spans="1:4" ht="198" customHeight="1" x14ac:dyDescent="0.25">
      <c r="A239" s="732" t="s">
        <v>720</v>
      </c>
      <c r="B239" s="933"/>
      <c r="C239" s="933"/>
    </row>
    <row r="242" spans="1:1" x14ac:dyDescent="0.25">
      <c r="A242" s="1" t="s">
        <v>366</v>
      </c>
    </row>
    <row r="273" spans="1:4" x14ac:dyDescent="0.25">
      <c r="A273" s="1" t="s">
        <v>77</v>
      </c>
    </row>
    <row r="274" spans="1:4" ht="16.5" thickBot="1" x14ac:dyDescent="0.3">
      <c r="A274" t="s">
        <v>407</v>
      </c>
    </row>
    <row r="275" spans="1:4" ht="26.25" thickBot="1" x14ac:dyDescent="0.3">
      <c r="A275" s="444" t="s">
        <v>386</v>
      </c>
      <c r="B275" s="445" t="s">
        <v>13</v>
      </c>
      <c r="C275" s="469" t="s">
        <v>387</v>
      </c>
      <c r="D275" s="546" t="s">
        <v>640</v>
      </c>
    </row>
    <row r="276" spans="1:4" ht="26.25" thickBot="1" x14ac:dyDescent="0.3">
      <c r="A276" s="569" t="s">
        <v>288</v>
      </c>
      <c r="B276" s="446" t="s">
        <v>402</v>
      </c>
      <c r="C276" s="470">
        <v>80</v>
      </c>
    </row>
    <row r="277" spans="1:4" ht="26.25" thickBot="1" x14ac:dyDescent="0.3">
      <c r="A277" s="570" t="s">
        <v>26</v>
      </c>
      <c r="B277" s="440" t="s">
        <v>403</v>
      </c>
      <c r="C277" s="466">
        <v>40</v>
      </c>
    </row>
    <row r="278" spans="1:4" ht="26.25" thickBot="1" x14ac:dyDescent="0.3">
      <c r="A278" s="571" t="s">
        <v>22</v>
      </c>
      <c r="B278" s="441" t="s">
        <v>404</v>
      </c>
      <c r="C278" s="467">
        <v>10</v>
      </c>
    </row>
    <row r="279" spans="1:4" ht="26.25" thickBot="1" x14ac:dyDescent="0.3">
      <c r="A279" s="572" t="s">
        <v>44</v>
      </c>
      <c r="B279" s="442" t="s">
        <v>405</v>
      </c>
      <c r="C279" s="468">
        <v>2</v>
      </c>
    </row>
    <row r="280" spans="1:4" ht="26.25" thickBot="1" x14ac:dyDescent="0.3">
      <c r="A280" s="424" t="s">
        <v>94</v>
      </c>
      <c r="B280" s="447" t="s">
        <v>406</v>
      </c>
      <c r="C280" s="471">
        <v>0</v>
      </c>
    </row>
    <row r="284" spans="1:4" x14ac:dyDescent="0.25">
      <c r="A284" s="1" t="s">
        <v>78</v>
      </c>
    </row>
    <row r="285" spans="1:4" ht="16.5" thickBot="1" x14ac:dyDescent="0.3">
      <c r="A285" t="s">
        <v>411</v>
      </c>
    </row>
    <row r="286" spans="1:4" ht="26.25" thickBot="1" x14ac:dyDescent="0.3">
      <c r="A286" s="444" t="s">
        <v>386</v>
      </c>
      <c r="B286" s="445" t="s">
        <v>13</v>
      </c>
      <c r="C286" s="469" t="s">
        <v>387</v>
      </c>
      <c r="D286" s="546" t="s">
        <v>640</v>
      </c>
    </row>
    <row r="287" spans="1:4" ht="16.5" thickBot="1" x14ac:dyDescent="0.3">
      <c r="A287" s="570" t="s">
        <v>26</v>
      </c>
      <c r="B287" s="440" t="s">
        <v>408</v>
      </c>
      <c r="C287" s="466">
        <v>1</v>
      </c>
    </row>
    <row r="288" spans="1:4" ht="16.5" thickBot="1" x14ac:dyDescent="0.3">
      <c r="A288" s="571" t="s">
        <v>22</v>
      </c>
      <c r="B288" s="441" t="s">
        <v>409</v>
      </c>
      <c r="C288" s="467">
        <v>0.5</v>
      </c>
    </row>
    <row r="289" spans="1:4" ht="16.5" thickBot="1" x14ac:dyDescent="0.3">
      <c r="A289" s="572" t="s">
        <v>44</v>
      </c>
      <c r="B289" s="442" t="s">
        <v>410</v>
      </c>
      <c r="C289" s="468">
        <v>0.1</v>
      </c>
    </row>
    <row r="291" spans="1:4" x14ac:dyDescent="0.25">
      <c r="A291" s="1" t="s">
        <v>79</v>
      </c>
    </row>
    <row r="292" spans="1:4" ht="16.5" thickBot="1" x14ac:dyDescent="0.3">
      <c r="A292" t="s">
        <v>416</v>
      </c>
    </row>
    <row r="293" spans="1:4" ht="26.25" thickBot="1" x14ac:dyDescent="0.3">
      <c r="A293" s="444" t="s">
        <v>386</v>
      </c>
      <c r="B293" s="445" t="s">
        <v>13</v>
      </c>
      <c r="C293" s="469" t="s">
        <v>387</v>
      </c>
      <c r="D293" s="546" t="s">
        <v>640</v>
      </c>
    </row>
    <row r="294" spans="1:4" ht="39" thickBot="1" x14ac:dyDescent="0.3">
      <c r="A294" s="569" t="s">
        <v>288</v>
      </c>
      <c r="B294" s="446" t="s">
        <v>412</v>
      </c>
      <c r="C294" s="470">
        <v>1</v>
      </c>
    </row>
    <row r="295" spans="1:4" ht="51.75" thickBot="1" x14ac:dyDescent="0.3">
      <c r="A295" s="570" t="s">
        <v>26</v>
      </c>
      <c r="B295" s="440" t="s">
        <v>413</v>
      </c>
      <c r="C295" s="466">
        <v>0.95</v>
      </c>
    </row>
    <row r="296" spans="1:4" ht="51.75" thickBot="1" x14ac:dyDescent="0.3">
      <c r="A296" s="571" t="s">
        <v>22</v>
      </c>
      <c r="B296" s="441" t="s">
        <v>414</v>
      </c>
      <c r="C296" s="467">
        <v>0.75</v>
      </c>
    </row>
    <row r="297" spans="1:4" ht="39" thickBot="1" x14ac:dyDescent="0.3">
      <c r="A297" s="572" t="s">
        <v>44</v>
      </c>
      <c r="B297" s="442" t="s">
        <v>415</v>
      </c>
      <c r="C297" s="468">
        <v>0.5</v>
      </c>
    </row>
    <row r="299" spans="1:4" x14ac:dyDescent="0.25">
      <c r="A299" s="1" t="s">
        <v>80</v>
      </c>
    </row>
    <row r="300" spans="1:4" ht="16.5" thickBot="1" x14ac:dyDescent="0.3">
      <c r="A300" t="s">
        <v>421</v>
      </c>
    </row>
    <row r="301" spans="1:4" ht="26.25" thickBot="1" x14ac:dyDescent="0.3">
      <c r="A301" s="444" t="s">
        <v>386</v>
      </c>
      <c r="B301" s="445" t="s">
        <v>13</v>
      </c>
      <c r="C301" s="469" t="s">
        <v>387</v>
      </c>
      <c r="D301" s="546" t="s">
        <v>640</v>
      </c>
    </row>
    <row r="302" spans="1:4" ht="26.25" thickBot="1" x14ac:dyDescent="0.3">
      <c r="A302" s="569" t="s">
        <v>288</v>
      </c>
      <c r="B302" s="446" t="s">
        <v>417</v>
      </c>
      <c r="C302" s="470">
        <v>1</v>
      </c>
    </row>
    <row r="303" spans="1:4" ht="16.5" thickBot="1" x14ac:dyDescent="0.3">
      <c r="A303" s="570" t="s">
        <v>26</v>
      </c>
      <c r="B303" s="440" t="s">
        <v>418</v>
      </c>
      <c r="C303" s="466">
        <v>0.8</v>
      </c>
    </row>
    <row r="304" spans="1:4" ht="16.5" thickBot="1" x14ac:dyDescent="0.3">
      <c r="A304" s="571" t="s">
        <v>22</v>
      </c>
      <c r="B304" s="441" t="s">
        <v>419</v>
      </c>
      <c r="C304" s="467">
        <v>0.4</v>
      </c>
    </row>
    <row r="305" spans="1:4" ht="16.5" thickBot="1" x14ac:dyDescent="0.3">
      <c r="A305" s="572" t="s">
        <v>44</v>
      </c>
      <c r="B305" s="442" t="s">
        <v>420</v>
      </c>
      <c r="C305" s="468">
        <v>0.1</v>
      </c>
    </row>
    <row r="307" spans="1:4" x14ac:dyDescent="0.25">
      <c r="A307" s="1" t="s">
        <v>81</v>
      </c>
    </row>
    <row r="308" spans="1:4" ht="16.5" thickBot="1" x14ac:dyDescent="0.3">
      <c r="A308" t="s">
        <v>426</v>
      </c>
    </row>
    <row r="309" spans="1:4" ht="26.25" thickBot="1" x14ac:dyDescent="0.3">
      <c r="A309" s="444" t="s">
        <v>386</v>
      </c>
      <c r="B309" s="445" t="s">
        <v>13</v>
      </c>
      <c r="C309" s="469" t="s">
        <v>387</v>
      </c>
      <c r="D309" s="546" t="s">
        <v>640</v>
      </c>
    </row>
    <row r="310" spans="1:4" ht="26.25" thickBot="1" x14ac:dyDescent="0.3">
      <c r="A310" s="569" t="s">
        <v>288</v>
      </c>
      <c r="B310" s="446" t="s">
        <v>422</v>
      </c>
      <c r="C310" s="470">
        <v>1</v>
      </c>
    </row>
    <row r="311" spans="1:4" ht="16.5" thickBot="1" x14ac:dyDescent="0.3">
      <c r="A311" s="570" t="s">
        <v>26</v>
      </c>
      <c r="B311" s="440" t="s">
        <v>423</v>
      </c>
      <c r="C311" s="466">
        <v>0.9</v>
      </c>
    </row>
    <row r="312" spans="1:4" ht="16.5" thickBot="1" x14ac:dyDescent="0.3">
      <c r="A312" s="571" t="s">
        <v>22</v>
      </c>
      <c r="B312" s="441" t="s">
        <v>424</v>
      </c>
      <c r="C312" s="467">
        <v>0.7</v>
      </c>
    </row>
    <row r="313" spans="1:4" ht="16.5" thickBot="1" x14ac:dyDescent="0.3">
      <c r="A313" s="572" t="s">
        <v>44</v>
      </c>
      <c r="B313" s="442" t="s">
        <v>425</v>
      </c>
      <c r="C313" s="468">
        <v>0.5</v>
      </c>
    </row>
    <row r="318" spans="1:4" x14ac:dyDescent="0.25">
      <c r="A318" s="1" t="s">
        <v>82</v>
      </c>
    </row>
    <row r="319" spans="1:4" ht="16.5" thickBot="1" x14ac:dyDescent="0.3">
      <c r="A319" t="s">
        <v>431</v>
      </c>
    </row>
    <row r="320" spans="1:4" ht="26.25" thickBot="1" x14ac:dyDescent="0.3">
      <c r="A320" s="444" t="s">
        <v>386</v>
      </c>
      <c r="B320" s="445" t="s">
        <v>13</v>
      </c>
      <c r="C320" s="469" t="s">
        <v>387</v>
      </c>
      <c r="D320" s="546" t="s">
        <v>640</v>
      </c>
    </row>
    <row r="321" spans="1:4" ht="26.25" thickBot="1" x14ac:dyDescent="0.3">
      <c r="A321" s="569" t="s">
        <v>288</v>
      </c>
      <c r="B321" s="446" t="s">
        <v>427</v>
      </c>
      <c r="C321" s="470">
        <v>1</v>
      </c>
    </row>
    <row r="322" spans="1:4" ht="26.25" thickBot="1" x14ac:dyDescent="0.3">
      <c r="A322" s="570" t="s">
        <v>26</v>
      </c>
      <c r="B322" s="440" t="s">
        <v>428</v>
      </c>
      <c r="C322" s="466">
        <v>0.8</v>
      </c>
    </row>
    <row r="323" spans="1:4" ht="16.5" thickBot="1" x14ac:dyDescent="0.3">
      <c r="A323" s="571" t="s">
        <v>22</v>
      </c>
      <c r="B323" s="441" t="s">
        <v>429</v>
      </c>
      <c r="C323" s="467">
        <v>0.5</v>
      </c>
    </row>
    <row r="324" spans="1:4" ht="16.5" thickBot="1" x14ac:dyDescent="0.3">
      <c r="A324" s="572" t="s">
        <v>44</v>
      </c>
      <c r="B324" s="442" t="s">
        <v>430</v>
      </c>
      <c r="C324" s="468">
        <v>0.3</v>
      </c>
    </row>
    <row r="326" spans="1:4" ht="23.25" x14ac:dyDescent="0.35">
      <c r="A326" s="443" t="s">
        <v>328</v>
      </c>
      <c r="D326" s="546" t="s">
        <v>640</v>
      </c>
    </row>
    <row r="327" spans="1:4" ht="291" customHeight="1" x14ac:dyDescent="0.25">
      <c r="A327" s="732" t="s">
        <v>432</v>
      </c>
      <c r="B327" s="933"/>
      <c r="C327" s="933"/>
    </row>
    <row r="329" spans="1:4" x14ac:dyDescent="0.25">
      <c r="A329" s="1" t="s">
        <v>366</v>
      </c>
    </row>
    <row r="344" spans="1:4" x14ac:dyDescent="0.25">
      <c r="A344" s="1" t="s">
        <v>83</v>
      </c>
    </row>
    <row r="345" spans="1:4" ht="16.5" thickBot="1" x14ac:dyDescent="0.3">
      <c r="A345" t="s">
        <v>438</v>
      </c>
    </row>
    <row r="346" spans="1:4" ht="26.25" thickBot="1" x14ac:dyDescent="0.3">
      <c r="A346" s="444" t="s">
        <v>386</v>
      </c>
      <c r="B346" s="445" t="s">
        <v>13</v>
      </c>
      <c r="C346" s="445" t="s">
        <v>387</v>
      </c>
      <c r="D346" s="546" t="s">
        <v>640</v>
      </c>
    </row>
    <row r="347" spans="1:4" ht="39" thickBot="1" x14ac:dyDescent="0.3">
      <c r="A347" s="569" t="s">
        <v>288</v>
      </c>
      <c r="B347" s="446" t="s">
        <v>433</v>
      </c>
      <c r="C347" s="446">
        <v>20</v>
      </c>
    </row>
    <row r="348" spans="1:4" ht="64.5" thickBot="1" x14ac:dyDescent="0.3">
      <c r="A348" s="570" t="s">
        <v>26</v>
      </c>
      <c r="B348" s="440" t="s">
        <v>434</v>
      </c>
      <c r="C348" s="440">
        <v>40</v>
      </c>
    </row>
    <row r="349" spans="1:4" ht="51.75" thickBot="1" x14ac:dyDescent="0.3">
      <c r="A349" s="571" t="s">
        <v>22</v>
      </c>
      <c r="B349" s="441" t="s">
        <v>435</v>
      </c>
      <c r="C349" s="441">
        <v>60</v>
      </c>
    </row>
    <row r="350" spans="1:4" ht="51.75" thickBot="1" x14ac:dyDescent="0.3">
      <c r="A350" s="572" t="s">
        <v>44</v>
      </c>
      <c r="B350" s="442" t="s">
        <v>436</v>
      </c>
      <c r="C350" s="442">
        <v>80</v>
      </c>
    </row>
    <row r="351" spans="1:4" ht="26.25" thickBot="1" x14ac:dyDescent="0.3">
      <c r="A351" s="424" t="s">
        <v>92</v>
      </c>
      <c r="B351" s="447" t="s">
        <v>437</v>
      </c>
      <c r="C351" s="447">
        <v>100</v>
      </c>
    </row>
    <row r="353" spans="1:4" x14ac:dyDescent="0.25">
      <c r="A353" s="1" t="s">
        <v>292</v>
      </c>
    </row>
    <row r="354" spans="1:4" ht="16.5" thickBot="1" x14ac:dyDescent="0.3">
      <c r="A354" t="s">
        <v>444</v>
      </c>
    </row>
    <row r="355" spans="1:4" ht="26.25" thickBot="1" x14ac:dyDescent="0.3">
      <c r="A355" s="444" t="s">
        <v>386</v>
      </c>
      <c r="B355" s="445" t="s">
        <v>13</v>
      </c>
      <c r="C355" s="445" t="s">
        <v>387</v>
      </c>
      <c r="D355" s="546" t="s">
        <v>640</v>
      </c>
    </row>
    <row r="356" spans="1:4" ht="26.25" thickBot="1" x14ac:dyDescent="0.3">
      <c r="A356" s="569" t="s">
        <v>288</v>
      </c>
      <c r="B356" s="446" t="s">
        <v>439</v>
      </c>
      <c r="C356" s="446">
        <v>0</v>
      </c>
    </row>
    <row r="357" spans="1:4" ht="26.25" thickBot="1" x14ac:dyDescent="0.3">
      <c r="A357" s="570" t="s">
        <v>26</v>
      </c>
      <c r="B357" s="440" t="s">
        <v>440</v>
      </c>
      <c r="C357" s="440">
        <v>0.1</v>
      </c>
    </row>
    <row r="358" spans="1:4" ht="39" thickBot="1" x14ac:dyDescent="0.3">
      <c r="A358" s="571" t="s">
        <v>22</v>
      </c>
      <c r="B358" s="441" t="s">
        <v>441</v>
      </c>
      <c r="C358" s="441">
        <v>0.3</v>
      </c>
    </row>
    <row r="359" spans="1:4" ht="51.75" thickBot="1" x14ac:dyDescent="0.3">
      <c r="A359" s="572" t="s">
        <v>44</v>
      </c>
      <c r="B359" s="442" t="s">
        <v>442</v>
      </c>
      <c r="C359" s="442">
        <v>0.5</v>
      </c>
    </row>
    <row r="360" spans="1:4" ht="39" thickBot="1" x14ac:dyDescent="0.3">
      <c r="A360" s="424" t="s">
        <v>92</v>
      </c>
      <c r="B360" s="447" t="s">
        <v>443</v>
      </c>
      <c r="C360" s="447">
        <v>0.8</v>
      </c>
    </row>
    <row r="372" spans="1:4" ht="23.25" x14ac:dyDescent="0.35">
      <c r="A372" s="443" t="s">
        <v>269</v>
      </c>
      <c r="D372" s="546" t="s">
        <v>640</v>
      </c>
    </row>
    <row r="373" spans="1:4" ht="77.25" customHeight="1" x14ac:dyDescent="0.25">
      <c r="A373" s="732" t="s">
        <v>445</v>
      </c>
      <c r="B373" s="732"/>
      <c r="C373" s="732"/>
    </row>
    <row r="375" spans="1:4" x14ac:dyDescent="0.25">
      <c r="A375" s="1" t="s">
        <v>446</v>
      </c>
    </row>
    <row r="394" spans="1:4" x14ac:dyDescent="0.25">
      <c r="A394" s="1" t="s">
        <v>456</v>
      </c>
    </row>
    <row r="395" spans="1:4" ht="16.5" thickBot="1" x14ac:dyDescent="0.3">
      <c r="A395" t="s">
        <v>455</v>
      </c>
    </row>
    <row r="396" spans="1:4" ht="26.25" thickBot="1" x14ac:dyDescent="0.3">
      <c r="A396" s="444" t="s">
        <v>447</v>
      </c>
      <c r="B396" s="445" t="s">
        <v>13</v>
      </c>
      <c r="C396" s="445" t="s">
        <v>448</v>
      </c>
      <c r="D396" s="546" t="s">
        <v>640</v>
      </c>
    </row>
    <row r="397" spans="1:4" ht="39" thickBot="1" x14ac:dyDescent="0.3">
      <c r="A397" s="569" t="s">
        <v>288</v>
      </c>
      <c r="B397" s="446" t="s">
        <v>449</v>
      </c>
      <c r="C397" s="446">
        <v>0.6</v>
      </c>
    </row>
    <row r="398" spans="1:4" ht="39" thickBot="1" x14ac:dyDescent="0.3">
      <c r="A398" s="570" t="s">
        <v>26</v>
      </c>
      <c r="B398" s="440" t="s">
        <v>450</v>
      </c>
      <c r="C398" s="440">
        <v>0.4</v>
      </c>
    </row>
    <row r="399" spans="1:4" ht="39" thickBot="1" x14ac:dyDescent="0.3">
      <c r="A399" s="571" t="s">
        <v>22</v>
      </c>
      <c r="B399" s="441" t="s">
        <v>451</v>
      </c>
      <c r="C399" s="441">
        <v>0.25</v>
      </c>
    </row>
    <row r="400" spans="1:4" ht="39" thickBot="1" x14ac:dyDescent="0.3">
      <c r="A400" s="572" t="s">
        <v>44</v>
      </c>
      <c r="B400" s="442" t="s">
        <v>452</v>
      </c>
      <c r="C400" s="442">
        <v>0.1</v>
      </c>
    </row>
    <row r="401" spans="1:4" ht="39" thickBot="1" x14ac:dyDescent="0.3">
      <c r="A401" s="573" t="s">
        <v>92</v>
      </c>
      <c r="B401" s="473" t="s">
        <v>453</v>
      </c>
      <c r="C401" s="473">
        <v>0.05</v>
      </c>
    </row>
    <row r="402" spans="1:4" ht="26.25" thickBot="1" x14ac:dyDescent="0.3">
      <c r="A402" s="574" t="s">
        <v>94</v>
      </c>
      <c r="B402" s="474" t="s">
        <v>454</v>
      </c>
      <c r="C402" s="474">
        <v>0</v>
      </c>
    </row>
    <row r="405" spans="1:4" x14ac:dyDescent="0.25">
      <c r="A405" s="1" t="s">
        <v>469</v>
      </c>
    </row>
    <row r="406" spans="1:4" ht="16.5" thickBot="1" x14ac:dyDescent="0.3">
      <c r="A406" t="s">
        <v>470</v>
      </c>
    </row>
    <row r="407" spans="1:4" ht="26.25" thickBot="1" x14ac:dyDescent="0.3">
      <c r="A407" s="444" t="s">
        <v>447</v>
      </c>
      <c r="B407" s="445" t="s">
        <v>13</v>
      </c>
      <c r="C407" s="445" t="s">
        <v>448</v>
      </c>
      <c r="D407" s="546" t="s">
        <v>640</v>
      </c>
    </row>
    <row r="408" spans="1:4" ht="38.25" x14ac:dyDescent="0.25">
      <c r="A408" s="936" t="s">
        <v>288</v>
      </c>
      <c r="B408" s="448" t="s">
        <v>457</v>
      </c>
      <c r="C408" s="938">
        <v>0.9</v>
      </c>
    </row>
    <row r="409" spans="1:4" x14ac:dyDescent="0.25">
      <c r="A409" s="948"/>
      <c r="B409" s="475" t="s">
        <v>458</v>
      </c>
      <c r="C409" s="949"/>
    </row>
    <row r="410" spans="1:4" ht="39" thickBot="1" x14ac:dyDescent="0.3">
      <c r="A410" s="937"/>
      <c r="B410" s="446" t="s">
        <v>459</v>
      </c>
      <c r="C410" s="939"/>
    </row>
    <row r="411" spans="1:4" ht="38.25" x14ac:dyDescent="0.25">
      <c r="A411" s="950" t="s">
        <v>26</v>
      </c>
      <c r="B411" s="449" t="s">
        <v>460</v>
      </c>
      <c r="C411" s="952">
        <v>0.65</v>
      </c>
    </row>
    <row r="412" spans="1:4" x14ac:dyDescent="0.25">
      <c r="A412" s="951"/>
      <c r="B412" s="476" t="s">
        <v>458</v>
      </c>
      <c r="C412" s="953"/>
    </row>
    <row r="413" spans="1:4" ht="39" thickBot="1" x14ac:dyDescent="0.3">
      <c r="A413" s="943"/>
      <c r="B413" s="440" t="s">
        <v>461</v>
      </c>
      <c r="C413" s="945"/>
    </row>
    <row r="414" spans="1:4" ht="38.25" x14ac:dyDescent="0.25">
      <c r="A414" s="954" t="s">
        <v>22</v>
      </c>
      <c r="B414" s="477" t="s">
        <v>462</v>
      </c>
      <c r="C414" s="957">
        <v>0.4</v>
      </c>
    </row>
    <row r="415" spans="1:4" x14ac:dyDescent="0.25">
      <c r="A415" s="955"/>
      <c r="B415" s="478" t="s">
        <v>458</v>
      </c>
      <c r="C415" s="958"/>
    </row>
    <row r="416" spans="1:4" ht="39" thickBot="1" x14ac:dyDescent="0.3">
      <c r="A416" s="956"/>
      <c r="B416" s="441" t="s">
        <v>463</v>
      </c>
      <c r="C416" s="959"/>
    </row>
    <row r="417" spans="1:4" ht="51" x14ac:dyDescent="0.25">
      <c r="A417" s="960" t="s">
        <v>44</v>
      </c>
      <c r="B417" s="479" t="s">
        <v>464</v>
      </c>
      <c r="C417" s="963">
        <v>0.2</v>
      </c>
    </row>
    <row r="418" spans="1:4" x14ac:dyDescent="0.25">
      <c r="A418" s="961"/>
      <c r="B418" s="480" t="s">
        <v>465</v>
      </c>
      <c r="C418" s="964"/>
    </row>
    <row r="419" spans="1:4" ht="26.25" thickBot="1" x14ac:dyDescent="0.3">
      <c r="A419" s="962"/>
      <c r="B419" s="442" t="s">
        <v>466</v>
      </c>
      <c r="C419" s="965"/>
    </row>
    <row r="420" spans="1:4" ht="38.25" x14ac:dyDescent="0.25">
      <c r="A420" s="966" t="s">
        <v>92</v>
      </c>
      <c r="B420" s="481" t="s">
        <v>467</v>
      </c>
      <c r="C420" s="969">
        <v>0.1</v>
      </c>
    </row>
    <row r="421" spans="1:4" x14ac:dyDescent="0.25">
      <c r="A421" s="967"/>
      <c r="B421" s="482" t="s">
        <v>465</v>
      </c>
      <c r="C421" s="970"/>
    </row>
    <row r="422" spans="1:4" ht="26.25" thickBot="1" x14ac:dyDescent="0.3">
      <c r="A422" s="968"/>
      <c r="B422" s="473" t="s">
        <v>466</v>
      </c>
      <c r="C422" s="971"/>
    </row>
    <row r="423" spans="1:4" ht="25.5" x14ac:dyDescent="0.25">
      <c r="A423" s="972" t="s">
        <v>94</v>
      </c>
      <c r="B423" s="483" t="s">
        <v>468</v>
      </c>
      <c r="C423" s="975">
        <v>0</v>
      </c>
    </row>
    <row r="424" spans="1:4" x14ac:dyDescent="0.25">
      <c r="A424" s="973"/>
      <c r="B424" s="484" t="s">
        <v>465</v>
      </c>
      <c r="C424" s="976"/>
    </row>
    <row r="425" spans="1:4" ht="26.25" thickBot="1" x14ac:dyDescent="0.3">
      <c r="A425" s="974"/>
      <c r="B425" s="474" t="s">
        <v>466</v>
      </c>
      <c r="C425" s="977"/>
    </row>
    <row r="427" spans="1:4" x14ac:dyDescent="0.25">
      <c r="A427" s="1" t="s">
        <v>482</v>
      </c>
    </row>
    <row r="428" spans="1:4" ht="16.5" thickBot="1" x14ac:dyDescent="0.3">
      <c r="A428" t="s">
        <v>481</v>
      </c>
    </row>
    <row r="429" spans="1:4" ht="26.25" thickBot="1" x14ac:dyDescent="0.3">
      <c r="A429" s="444" t="s">
        <v>447</v>
      </c>
      <c r="B429" s="445" t="s">
        <v>13</v>
      </c>
      <c r="C429" s="445" t="s">
        <v>448</v>
      </c>
      <c r="D429" s="546" t="s">
        <v>640</v>
      </c>
    </row>
    <row r="430" spans="1:4" ht="38.25" x14ac:dyDescent="0.25">
      <c r="A430" s="936" t="s">
        <v>288</v>
      </c>
      <c r="B430" s="448" t="s">
        <v>471</v>
      </c>
      <c r="C430" s="938">
        <v>0.6</v>
      </c>
    </row>
    <row r="431" spans="1:4" x14ac:dyDescent="0.25">
      <c r="A431" s="948"/>
      <c r="B431" s="475" t="s">
        <v>458</v>
      </c>
      <c r="C431" s="949"/>
    </row>
    <row r="432" spans="1:4" ht="51.75" thickBot="1" x14ac:dyDescent="0.3">
      <c r="A432" s="937"/>
      <c r="B432" s="446" t="s">
        <v>472</v>
      </c>
      <c r="C432" s="939"/>
    </row>
    <row r="433" spans="1:3" ht="38.25" x14ac:dyDescent="0.25">
      <c r="A433" s="950" t="s">
        <v>26</v>
      </c>
      <c r="B433" s="449" t="s">
        <v>473</v>
      </c>
      <c r="C433" s="952">
        <v>0.4</v>
      </c>
    </row>
    <row r="434" spans="1:3" x14ac:dyDescent="0.25">
      <c r="A434" s="951"/>
      <c r="B434" s="476" t="s">
        <v>458</v>
      </c>
      <c r="C434" s="953"/>
    </row>
    <row r="435" spans="1:3" ht="51.75" thickBot="1" x14ac:dyDescent="0.3">
      <c r="A435" s="943"/>
      <c r="B435" s="440" t="s">
        <v>474</v>
      </c>
      <c r="C435" s="945"/>
    </row>
    <row r="436" spans="1:3" ht="38.25" x14ac:dyDescent="0.25">
      <c r="A436" s="954" t="s">
        <v>22</v>
      </c>
      <c r="B436" s="477" t="s">
        <v>475</v>
      </c>
      <c r="C436" s="957">
        <v>0.2</v>
      </c>
    </row>
    <row r="437" spans="1:3" x14ac:dyDescent="0.25">
      <c r="A437" s="955"/>
      <c r="B437" s="478" t="s">
        <v>458</v>
      </c>
      <c r="C437" s="958"/>
    </row>
    <row r="438" spans="1:3" ht="39" thickBot="1" x14ac:dyDescent="0.3">
      <c r="A438" s="956"/>
      <c r="B438" s="441" t="s">
        <v>476</v>
      </c>
      <c r="C438" s="959"/>
    </row>
    <row r="439" spans="1:3" ht="25.5" x14ac:dyDescent="0.25">
      <c r="A439" s="960" t="s">
        <v>44</v>
      </c>
      <c r="B439" s="479" t="s">
        <v>477</v>
      </c>
      <c r="C439" s="963">
        <v>0.1</v>
      </c>
    </row>
    <row r="440" spans="1:3" x14ac:dyDescent="0.25">
      <c r="A440" s="961"/>
      <c r="B440" s="480" t="s">
        <v>465</v>
      </c>
      <c r="C440" s="964"/>
    </row>
    <row r="441" spans="1:3" ht="26.25" thickBot="1" x14ac:dyDescent="0.3">
      <c r="A441" s="962"/>
      <c r="B441" s="442" t="s">
        <v>478</v>
      </c>
      <c r="C441" s="965"/>
    </row>
    <row r="442" spans="1:3" ht="38.25" x14ac:dyDescent="0.25">
      <c r="A442" s="966" t="s">
        <v>92</v>
      </c>
      <c r="B442" s="481" t="s">
        <v>479</v>
      </c>
      <c r="C442" s="969">
        <v>0.05</v>
      </c>
    </row>
    <row r="443" spans="1:3" x14ac:dyDescent="0.25">
      <c r="A443" s="967"/>
      <c r="B443" s="482" t="s">
        <v>465</v>
      </c>
      <c r="C443" s="970"/>
    </row>
    <row r="444" spans="1:3" ht="26.25" thickBot="1" x14ac:dyDescent="0.3">
      <c r="A444" s="968"/>
      <c r="B444" s="473" t="s">
        <v>478</v>
      </c>
      <c r="C444" s="971"/>
    </row>
    <row r="445" spans="1:3" ht="25.5" x14ac:dyDescent="0.25">
      <c r="A445" s="972" t="s">
        <v>94</v>
      </c>
      <c r="B445" s="483" t="s">
        <v>480</v>
      </c>
      <c r="C445" s="975">
        <v>0</v>
      </c>
    </row>
    <row r="446" spans="1:3" x14ac:dyDescent="0.25">
      <c r="A446" s="973"/>
      <c r="B446" s="484" t="s">
        <v>465</v>
      </c>
      <c r="C446" s="976"/>
    </row>
    <row r="447" spans="1:3" ht="26.25" thickBot="1" x14ac:dyDescent="0.3">
      <c r="A447" s="974"/>
      <c r="B447" s="474" t="s">
        <v>478</v>
      </c>
      <c r="C447" s="977"/>
    </row>
    <row r="449" spans="1:4" x14ac:dyDescent="0.25">
      <c r="A449" s="1" t="s">
        <v>514</v>
      </c>
    </row>
    <row r="450" spans="1:4" ht="16.5" thickBot="1" x14ac:dyDescent="0.3">
      <c r="A450" t="s">
        <v>603</v>
      </c>
    </row>
    <row r="451" spans="1:4" ht="26.25" thickBot="1" x14ac:dyDescent="0.3">
      <c r="A451" s="444" t="s">
        <v>447</v>
      </c>
      <c r="B451" s="445" t="s">
        <v>13</v>
      </c>
      <c r="C451" s="445" t="s">
        <v>448</v>
      </c>
      <c r="D451" s="546" t="s">
        <v>640</v>
      </c>
    </row>
    <row r="452" spans="1:4" ht="26.25" thickBot="1" x14ac:dyDescent="0.3">
      <c r="A452" s="569" t="s">
        <v>288</v>
      </c>
      <c r="B452" s="446" t="s">
        <v>483</v>
      </c>
      <c r="C452" s="446">
        <v>0.5</v>
      </c>
    </row>
    <row r="453" spans="1:4" ht="26.25" thickBot="1" x14ac:dyDescent="0.3">
      <c r="A453" s="570" t="s">
        <v>26</v>
      </c>
      <c r="B453" s="440" t="s">
        <v>484</v>
      </c>
      <c r="C453" s="440">
        <v>0.3</v>
      </c>
    </row>
    <row r="454" spans="1:4" ht="26.25" thickBot="1" x14ac:dyDescent="0.3">
      <c r="A454" s="571" t="s">
        <v>22</v>
      </c>
      <c r="B454" s="441" t="s">
        <v>485</v>
      </c>
      <c r="C454" s="441">
        <v>0.2</v>
      </c>
    </row>
    <row r="455" spans="1:4" ht="26.25" thickBot="1" x14ac:dyDescent="0.3">
      <c r="A455" s="572" t="s">
        <v>44</v>
      </c>
      <c r="B455" s="442" t="s">
        <v>486</v>
      </c>
      <c r="C455" s="442">
        <v>0.1</v>
      </c>
    </row>
    <row r="456" spans="1:4" ht="26.25" thickBot="1" x14ac:dyDescent="0.3">
      <c r="A456" s="573" t="s">
        <v>92</v>
      </c>
      <c r="B456" s="473" t="s">
        <v>487</v>
      </c>
      <c r="C456" s="473">
        <v>0.05</v>
      </c>
    </row>
    <row r="457" spans="1:4" ht="26.25" thickBot="1" x14ac:dyDescent="0.3">
      <c r="A457" s="574" t="s">
        <v>94</v>
      </c>
      <c r="B457" s="474" t="s">
        <v>488</v>
      </c>
      <c r="C457" s="474">
        <v>0</v>
      </c>
    </row>
    <row r="460" spans="1:4" ht="23.25" x14ac:dyDescent="0.35">
      <c r="A460" s="443" t="s">
        <v>171</v>
      </c>
      <c r="D460" s="546" t="s">
        <v>640</v>
      </c>
    </row>
    <row r="461" spans="1:4" ht="181.5" customHeight="1" x14ac:dyDescent="0.25">
      <c r="A461" s="732" t="s">
        <v>723</v>
      </c>
      <c r="B461" s="732"/>
      <c r="C461" s="732"/>
    </row>
    <row r="463" spans="1:4" x14ac:dyDescent="0.25">
      <c r="A463" s="1" t="s">
        <v>366</v>
      </c>
    </row>
    <row r="480" spans="1:1" x14ac:dyDescent="0.25">
      <c r="A480" s="1" t="s">
        <v>501</v>
      </c>
    </row>
    <row r="481" spans="1:4" ht="16.5" thickBot="1" x14ac:dyDescent="0.3">
      <c r="A481" t="s">
        <v>500</v>
      </c>
    </row>
    <row r="482" spans="1:4" ht="26.25" thickBot="1" x14ac:dyDescent="0.3">
      <c r="A482" s="444" t="s">
        <v>447</v>
      </c>
      <c r="B482" s="445" t="s">
        <v>13</v>
      </c>
      <c r="C482" s="445" t="s">
        <v>448</v>
      </c>
      <c r="D482" s="546" t="s">
        <v>640</v>
      </c>
    </row>
    <row r="483" spans="1:4" ht="25.5" x14ac:dyDescent="0.25">
      <c r="A483" s="936" t="s">
        <v>288</v>
      </c>
      <c r="B483" s="448" t="s">
        <v>489</v>
      </c>
      <c r="C483" s="938">
        <v>1</v>
      </c>
    </row>
    <row r="484" spans="1:4" x14ac:dyDescent="0.25">
      <c r="A484" s="948"/>
      <c r="B484" s="475" t="s">
        <v>458</v>
      </c>
      <c r="C484" s="949"/>
    </row>
    <row r="485" spans="1:4" ht="39" thickBot="1" x14ac:dyDescent="0.3">
      <c r="A485" s="937"/>
      <c r="B485" s="446" t="s">
        <v>490</v>
      </c>
      <c r="C485" s="939"/>
    </row>
    <row r="486" spans="1:4" ht="25.5" x14ac:dyDescent="0.25">
      <c r="A486" s="950" t="s">
        <v>26</v>
      </c>
      <c r="B486" s="449" t="s">
        <v>491</v>
      </c>
      <c r="C486" s="952">
        <v>0.8</v>
      </c>
    </row>
    <row r="487" spans="1:4" x14ac:dyDescent="0.25">
      <c r="A487" s="951"/>
      <c r="B487" s="476" t="s">
        <v>458</v>
      </c>
      <c r="C487" s="953"/>
    </row>
    <row r="488" spans="1:4" ht="39" thickBot="1" x14ac:dyDescent="0.3">
      <c r="A488" s="943"/>
      <c r="B488" s="440" t="s">
        <v>492</v>
      </c>
      <c r="C488" s="945"/>
    </row>
    <row r="489" spans="1:4" ht="38.25" x14ac:dyDescent="0.25">
      <c r="A489" s="954" t="s">
        <v>22</v>
      </c>
      <c r="B489" s="477" t="s">
        <v>493</v>
      </c>
      <c r="C489" s="957">
        <v>0.6</v>
      </c>
    </row>
    <row r="490" spans="1:4" x14ac:dyDescent="0.25">
      <c r="A490" s="955"/>
      <c r="B490" s="478" t="s">
        <v>458</v>
      </c>
      <c r="C490" s="958"/>
    </row>
    <row r="491" spans="1:4" ht="39" thickBot="1" x14ac:dyDescent="0.3">
      <c r="A491" s="956"/>
      <c r="B491" s="441" t="s">
        <v>494</v>
      </c>
      <c r="C491" s="959"/>
    </row>
    <row r="492" spans="1:4" ht="25.5" x14ac:dyDescent="0.25">
      <c r="A492" s="960" t="s">
        <v>44</v>
      </c>
      <c r="B492" s="479" t="s">
        <v>495</v>
      </c>
      <c r="C492" s="963">
        <v>0.4</v>
      </c>
    </row>
    <row r="493" spans="1:4" x14ac:dyDescent="0.25">
      <c r="A493" s="961"/>
      <c r="B493" s="480" t="s">
        <v>458</v>
      </c>
      <c r="C493" s="964"/>
    </row>
    <row r="494" spans="1:4" ht="51" x14ac:dyDescent="0.25">
      <c r="A494" s="961"/>
      <c r="B494" s="479" t="s">
        <v>496</v>
      </c>
      <c r="C494" s="964"/>
    </row>
    <row r="495" spans="1:4" ht="16.5" thickBot="1" x14ac:dyDescent="0.3">
      <c r="A495" s="962"/>
      <c r="B495" s="442"/>
      <c r="C495" s="965"/>
    </row>
    <row r="496" spans="1:4" ht="38.25" x14ac:dyDescent="0.25">
      <c r="A496" s="966" t="s">
        <v>92</v>
      </c>
      <c r="B496" s="481" t="s">
        <v>497</v>
      </c>
      <c r="C496" s="969">
        <v>0.2</v>
      </c>
    </row>
    <row r="497" spans="1:4" x14ac:dyDescent="0.25">
      <c r="A497" s="967"/>
      <c r="B497" s="482" t="s">
        <v>465</v>
      </c>
      <c r="C497" s="970"/>
    </row>
    <row r="498" spans="1:4" ht="26.25" thickBot="1" x14ac:dyDescent="0.3">
      <c r="A498" s="968"/>
      <c r="B498" s="473" t="s">
        <v>498</v>
      </c>
      <c r="C498" s="971"/>
    </row>
    <row r="499" spans="1:4" ht="39" thickBot="1" x14ac:dyDescent="0.3">
      <c r="A499" s="574" t="s">
        <v>94</v>
      </c>
      <c r="B499" s="474" t="s">
        <v>499</v>
      </c>
      <c r="C499" s="474">
        <v>0</v>
      </c>
    </row>
    <row r="501" spans="1:4" x14ac:dyDescent="0.25">
      <c r="A501" s="1" t="s">
        <v>482</v>
      </c>
    </row>
    <row r="502" spans="1:4" ht="16.5" thickBot="1" x14ac:dyDescent="0.3">
      <c r="A502" t="s">
        <v>512</v>
      </c>
    </row>
    <row r="503" spans="1:4" ht="26.25" thickBot="1" x14ac:dyDescent="0.3">
      <c r="A503" s="444" t="s">
        <v>447</v>
      </c>
      <c r="B503" s="445" t="s">
        <v>13</v>
      </c>
      <c r="C503" s="445" t="s">
        <v>448</v>
      </c>
      <c r="D503" s="546" t="s">
        <v>640</v>
      </c>
    </row>
    <row r="504" spans="1:4" ht="25.5" x14ac:dyDescent="0.25">
      <c r="A504" s="936" t="s">
        <v>288</v>
      </c>
      <c r="B504" s="448" t="s">
        <v>502</v>
      </c>
      <c r="C504" s="938">
        <v>0.6</v>
      </c>
    </row>
    <row r="505" spans="1:4" x14ac:dyDescent="0.25">
      <c r="A505" s="948"/>
      <c r="B505" s="475" t="s">
        <v>458</v>
      </c>
      <c r="C505" s="949"/>
    </row>
    <row r="506" spans="1:4" ht="39" thickBot="1" x14ac:dyDescent="0.3">
      <c r="A506" s="937"/>
      <c r="B506" s="446" t="s">
        <v>503</v>
      </c>
      <c r="C506" s="939"/>
    </row>
    <row r="507" spans="1:4" ht="25.5" x14ac:dyDescent="0.25">
      <c r="A507" s="950" t="s">
        <v>26</v>
      </c>
      <c r="B507" s="449" t="s">
        <v>504</v>
      </c>
      <c r="C507" s="952">
        <v>0.4</v>
      </c>
    </row>
    <row r="508" spans="1:4" x14ac:dyDescent="0.25">
      <c r="A508" s="951"/>
      <c r="B508" s="476" t="s">
        <v>458</v>
      </c>
      <c r="C508" s="953"/>
    </row>
    <row r="509" spans="1:4" ht="51.75" thickBot="1" x14ac:dyDescent="0.3">
      <c r="A509" s="943"/>
      <c r="B509" s="440" t="s">
        <v>505</v>
      </c>
      <c r="C509" s="945"/>
    </row>
    <row r="510" spans="1:4" ht="38.25" x14ac:dyDescent="0.25">
      <c r="A510" s="954" t="s">
        <v>22</v>
      </c>
      <c r="B510" s="477" t="s">
        <v>506</v>
      </c>
      <c r="C510" s="957">
        <v>0.3</v>
      </c>
    </row>
    <row r="511" spans="1:4" x14ac:dyDescent="0.25">
      <c r="A511" s="955"/>
      <c r="B511" s="478" t="s">
        <v>458</v>
      </c>
      <c r="C511" s="958"/>
    </row>
    <row r="512" spans="1:4" ht="39" thickBot="1" x14ac:dyDescent="0.3">
      <c r="A512" s="956"/>
      <c r="B512" s="441" t="s">
        <v>507</v>
      </c>
      <c r="C512" s="959"/>
    </row>
    <row r="513" spans="1:4" ht="25.5" x14ac:dyDescent="0.25">
      <c r="A513" s="960" t="s">
        <v>44</v>
      </c>
      <c r="B513" s="479" t="s">
        <v>508</v>
      </c>
      <c r="C513" s="963">
        <v>0.2</v>
      </c>
    </row>
    <row r="514" spans="1:4" x14ac:dyDescent="0.25">
      <c r="A514" s="961"/>
      <c r="B514" s="480" t="s">
        <v>458</v>
      </c>
      <c r="C514" s="964"/>
    </row>
    <row r="515" spans="1:4" ht="39" thickBot="1" x14ac:dyDescent="0.3">
      <c r="A515" s="962"/>
      <c r="B515" s="442" t="s">
        <v>509</v>
      </c>
      <c r="C515" s="965"/>
    </row>
    <row r="516" spans="1:4" ht="51.75" thickBot="1" x14ac:dyDescent="0.3">
      <c r="A516" s="573" t="s">
        <v>92</v>
      </c>
      <c r="B516" s="473" t="s">
        <v>510</v>
      </c>
      <c r="C516" s="473">
        <v>0.1</v>
      </c>
    </row>
    <row r="517" spans="1:4" ht="39" thickBot="1" x14ac:dyDescent="0.3">
      <c r="A517" s="574" t="s">
        <v>94</v>
      </c>
      <c r="B517" s="474" t="s">
        <v>511</v>
      </c>
      <c r="C517" s="474">
        <v>0</v>
      </c>
    </row>
    <row r="519" spans="1:4" x14ac:dyDescent="0.25">
      <c r="A519" s="1" t="s">
        <v>514</v>
      </c>
    </row>
    <row r="520" spans="1:4" ht="16.5" thickBot="1" x14ac:dyDescent="0.3">
      <c r="A520" t="s">
        <v>513</v>
      </c>
    </row>
    <row r="521" spans="1:4" ht="26.25" thickBot="1" x14ac:dyDescent="0.3">
      <c r="A521" s="444" t="s">
        <v>447</v>
      </c>
      <c r="B521" s="445" t="s">
        <v>13</v>
      </c>
      <c r="C521" s="445" t="s">
        <v>448</v>
      </c>
      <c r="D521" s="546" t="s">
        <v>640</v>
      </c>
    </row>
    <row r="522" spans="1:4" ht="39" thickBot="1" x14ac:dyDescent="0.3">
      <c r="A522" s="569" t="s">
        <v>288</v>
      </c>
      <c r="B522" s="446" t="s">
        <v>515</v>
      </c>
      <c r="C522" s="446">
        <v>0.25</v>
      </c>
    </row>
    <row r="523" spans="1:4" ht="39" thickBot="1" x14ac:dyDescent="0.3">
      <c r="A523" s="570" t="s">
        <v>26</v>
      </c>
      <c r="B523" s="440" t="s">
        <v>516</v>
      </c>
      <c r="C523" s="440">
        <v>0.2</v>
      </c>
    </row>
    <row r="524" spans="1:4" ht="39" thickBot="1" x14ac:dyDescent="0.3">
      <c r="A524" s="571" t="s">
        <v>22</v>
      </c>
      <c r="B524" s="441" t="s">
        <v>517</v>
      </c>
      <c r="C524" s="441">
        <v>0.15</v>
      </c>
    </row>
    <row r="525" spans="1:4" ht="39" thickBot="1" x14ac:dyDescent="0.3">
      <c r="A525" s="572" t="s">
        <v>44</v>
      </c>
      <c r="B525" s="442" t="s">
        <v>518</v>
      </c>
      <c r="C525" s="442">
        <v>0.1</v>
      </c>
    </row>
    <row r="526" spans="1:4" ht="39" thickBot="1" x14ac:dyDescent="0.3">
      <c r="A526" s="573" t="s">
        <v>92</v>
      </c>
      <c r="B526" s="473" t="s">
        <v>519</v>
      </c>
      <c r="C526" s="473">
        <v>0.05</v>
      </c>
    </row>
    <row r="527" spans="1:4" ht="39" thickBot="1" x14ac:dyDescent="0.3">
      <c r="A527" s="574" t="s">
        <v>94</v>
      </c>
      <c r="B527" s="474" t="s">
        <v>520</v>
      </c>
      <c r="C527" s="474">
        <v>0</v>
      </c>
    </row>
    <row r="530" spans="1:4" ht="23.25" x14ac:dyDescent="0.35">
      <c r="A530" s="443" t="s">
        <v>289</v>
      </c>
      <c r="D530" s="546" t="s">
        <v>640</v>
      </c>
    </row>
    <row r="531" spans="1:4" ht="180" customHeight="1" x14ac:dyDescent="0.25">
      <c r="A531" s="732" t="s">
        <v>521</v>
      </c>
      <c r="B531" s="732"/>
      <c r="C531" s="732"/>
    </row>
    <row r="536" spans="1:4" x14ac:dyDescent="0.25">
      <c r="A536" s="1" t="s">
        <v>366</v>
      </c>
    </row>
    <row r="556" spans="1:4" x14ac:dyDescent="0.25">
      <c r="A556" s="1" t="s">
        <v>529</v>
      </c>
    </row>
    <row r="557" spans="1:4" ht="16.5" thickBot="1" x14ac:dyDescent="0.3">
      <c r="A557" t="s">
        <v>528</v>
      </c>
    </row>
    <row r="558" spans="1:4" ht="26.25" thickBot="1" x14ac:dyDescent="0.3">
      <c r="A558" s="444" t="s">
        <v>447</v>
      </c>
      <c r="B558" s="445" t="s">
        <v>13</v>
      </c>
      <c r="C558" s="445" t="s">
        <v>448</v>
      </c>
      <c r="D558" s="546" t="s">
        <v>640</v>
      </c>
    </row>
    <row r="559" spans="1:4" ht="26.25" thickBot="1" x14ac:dyDescent="0.3">
      <c r="A559" s="569" t="s">
        <v>288</v>
      </c>
      <c r="B559" s="446" t="s">
        <v>522</v>
      </c>
      <c r="C559" s="446">
        <v>0.6</v>
      </c>
    </row>
    <row r="560" spans="1:4" ht="39" thickBot="1" x14ac:dyDescent="0.3">
      <c r="A560" s="570" t="s">
        <v>26</v>
      </c>
      <c r="B560" s="440" t="s">
        <v>523</v>
      </c>
      <c r="C560" s="440">
        <v>0.4</v>
      </c>
    </row>
    <row r="561" spans="1:4" ht="39" thickBot="1" x14ac:dyDescent="0.3">
      <c r="A561" s="571" t="s">
        <v>22</v>
      </c>
      <c r="B561" s="441" t="s">
        <v>524</v>
      </c>
      <c r="C561" s="441">
        <v>0.25</v>
      </c>
    </row>
    <row r="562" spans="1:4" ht="39" thickBot="1" x14ac:dyDescent="0.3">
      <c r="A562" s="572" t="s">
        <v>44</v>
      </c>
      <c r="B562" s="442" t="s">
        <v>525</v>
      </c>
      <c r="C562" s="442">
        <v>0.1</v>
      </c>
    </row>
    <row r="563" spans="1:4" ht="39" thickBot="1" x14ac:dyDescent="0.3">
      <c r="A563" s="573" t="s">
        <v>92</v>
      </c>
      <c r="B563" s="473" t="s">
        <v>526</v>
      </c>
      <c r="C563" s="473">
        <v>0.05</v>
      </c>
    </row>
    <row r="564" spans="1:4" ht="16.5" thickBot="1" x14ac:dyDescent="0.3">
      <c r="A564" s="574" t="s">
        <v>94</v>
      </c>
      <c r="B564" s="474" t="s">
        <v>527</v>
      </c>
      <c r="C564" s="474">
        <v>0</v>
      </c>
    </row>
    <row r="566" spans="1:4" x14ac:dyDescent="0.25">
      <c r="A566" s="1" t="s">
        <v>541</v>
      </c>
    </row>
    <row r="567" spans="1:4" ht="16.5" thickBot="1" x14ac:dyDescent="0.3">
      <c r="A567" t="s">
        <v>540</v>
      </c>
    </row>
    <row r="568" spans="1:4" ht="26.25" thickBot="1" x14ac:dyDescent="0.3">
      <c r="A568" s="444" t="s">
        <v>447</v>
      </c>
      <c r="B568" s="445" t="s">
        <v>13</v>
      </c>
      <c r="C568" s="445" t="s">
        <v>448</v>
      </c>
      <c r="D568" s="546" t="s">
        <v>640</v>
      </c>
    </row>
    <row r="569" spans="1:4" ht="25.5" x14ac:dyDescent="0.25">
      <c r="A569" s="936" t="s">
        <v>288</v>
      </c>
      <c r="B569" s="448" t="s">
        <v>530</v>
      </c>
      <c r="C569" s="938">
        <v>0.9</v>
      </c>
    </row>
    <row r="570" spans="1:4" x14ac:dyDescent="0.25">
      <c r="A570" s="948"/>
      <c r="B570" s="475" t="s">
        <v>458</v>
      </c>
      <c r="C570" s="949"/>
    </row>
    <row r="571" spans="1:4" ht="39" thickBot="1" x14ac:dyDescent="0.3">
      <c r="A571" s="937"/>
      <c r="B571" s="446" t="s">
        <v>531</v>
      </c>
      <c r="C571" s="939"/>
    </row>
    <row r="572" spans="1:4" ht="25.5" x14ac:dyDescent="0.25">
      <c r="A572" s="950" t="s">
        <v>26</v>
      </c>
      <c r="B572" s="449" t="s">
        <v>532</v>
      </c>
      <c r="C572" s="952">
        <v>0.65</v>
      </c>
    </row>
    <row r="573" spans="1:4" x14ac:dyDescent="0.25">
      <c r="A573" s="951"/>
      <c r="B573" s="476" t="s">
        <v>458</v>
      </c>
      <c r="C573" s="953"/>
    </row>
    <row r="574" spans="1:4" ht="39" thickBot="1" x14ac:dyDescent="0.3">
      <c r="A574" s="943"/>
      <c r="B574" s="440" t="s">
        <v>533</v>
      </c>
      <c r="C574" s="945"/>
    </row>
    <row r="575" spans="1:4" ht="38.25" x14ac:dyDescent="0.25">
      <c r="A575" s="954" t="s">
        <v>22</v>
      </c>
      <c r="B575" s="477" t="s">
        <v>534</v>
      </c>
      <c r="C575" s="957">
        <v>0.4</v>
      </c>
    </row>
    <row r="576" spans="1:4" x14ac:dyDescent="0.25">
      <c r="A576" s="955"/>
      <c r="B576" s="478" t="s">
        <v>458</v>
      </c>
      <c r="C576" s="958"/>
    </row>
    <row r="577" spans="1:4" ht="39" thickBot="1" x14ac:dyDescent="0.3">
      <c r="A577" s="956"/>
      <c r="B577" s="441" t="s">
        <v>535</v>
      </c>
      <c r="C577" s="959"/>
    </row>
    <row r="578" spans="1:4" ht="38.25" x14ac:dyDescent="0.25">
      <c r="A578" s="960" t="s">
        <v>44</v>
      </c>
      <c r="B578" s="479" t="s">
        <v>536</v>
      </c>
      <c r="C578" s="963">
        <v>0.2</v>
      </c>
    </row>
    <row r="579" spans="1:4" x14ac:dyDescent="0.25">
      <c r="A579" s="961"/>
      <c r="B579" s="480" t="s">
        <v>465</v>
      </c>
      <c r="C579" s="964"/>
    </row>
    <row r="580" spans="1:4" ht="26.25" thickBot="1" x14ac:dyDescent="0.3">
      <c r="A580" s="962"/>
      <c r="B580" s="442" t="s">
        <v>537</v>
      </c>
      <c r="C580" s="965"/>
    </row>
    <row r="581" spans="1:4" ht="38.25" x14ac:dyDescent="0.25">
      <c r="A581" s="966" t="s">
        <v>92</v>
      </c>
      <c r="B581" s="481" t="s">
        <v>538</v>
      </c>
      <c r="C581" s="969">
        <v>0.1</v>
      </c>
    </row>
    <row r="582" spans="1:4" x14ac:dyDescent="0.25">
      <c r="A582" s="967"/>
      <c r="B582" s="482" t="s">
        <v>465</v>
      </c>
      <c r="C582" s="970"/>
    </row>
    <row r="583" spans="1:4" ht="26.25" thickBot="1" x14ac:dyDescent="0.3">
      <c r="A583" s="968"/>
      <c r="B583" s="473" t="s">
        <v>537</v>
      </c>
      <c r="C583" s="971"/>
    </row>
    <row r="584" spans="1:4" ht="25.5" x14ac:dyDescent="0.25">
      <c r="A584" s="972" t="s">
        <v>94</v>
      </c>
      <c r="B584" s="483" t="s">
        <v>539</v>
      </c>
      <c r="C584" s="975">
        <v>0</v>
      </c>
    </row>
    <row r="585" spans="1:4" x14ac:dyDescent="0.25">
      <c r="A585" s="973"/>
      <c r="B585" s="484" t="s">
        <v>465</v>
      </c>
      <c r="C585" s="976"/>
    </row>
    <row r="586" spans="1:4" ht="26.25" thickBot="1" x14ac:dyDescent="0.3">
      <c r="A586" s="974"/>
      <c r="B586" s="474" t="s">
        <v>537</v>
      </c>
      <c r="C586" s="977"/>
    </row>
    <row r="588" spans="1:4" x14ac:dyDescent="0.25">
      <c r="A588" s="1" t="s">
        <v>552</v>
      </c>
    </row>
    <row r="589" spans="1:4" ht="16.5" thickBot="1" x14ac:dyDescent="0.3">
      <c r="A589" t="s">
        <v>551</v>
      </c>
    </row>
    <row r="590" spans="1:4" ht="26.25" thickBot="1" x14ac:dyDescent="0.3">
      <c r="A590" s="444" t="s">
        <v>447</v>
      </c>
      <c r="B590" s="445" t="s">
        <v>13</v>
      </c>
      <c r="C590" s="445" t="s">
        <v>448</v>
      </c>
      <c r="D590" s="546" t="s">
        <v>640</v>
      </c>
    </row>
    <row r="591" spans="1:4" ht="38.25" x14ac:dyDescent="0.25">
      <c r="A591" s="936" t="s">
        <v>288</v>
      </c>
      <c r="B591" s="448" t="s">
        <v>542</v>
      </c>
      <c r="C591" s="938">
        <v>0.6</v>
      </c>
    </row>
    <row r="592" spans="1:4" x14ac:dyDescent="0.25">
      <c r="A592" s="948"/>
      <c r="B592" s="475" t="s">
        <v>458</v>
      </c>
      <c r="C592" s="949"/>
    </row>
    <row r="593" spans="1:4" ht="51.75" thickBot="1" x14ac:dyDescent="0.3">
      <c r="A593" s="937"/>
      <c r="B593" s="446" t="s">
        <v>543</v>
      </c>
      <c r="C593" s="939"/>
    </row>
    <row r="594" spans="1:4" ht="38.25" x14ac:dyDescent="0.25">
      <c r="A594" s="950" t="s">
        <v>26</v>
      </c>
      <c r="B594" s="449" t="s">
        <v>544</v>
      </c>
      <c r="C594" s="952">
        <v>0.4</v>
      </c>
    </row>
    <row r="595" spans="1:4" x14ac:dyDescent="0.25">
      <c r="A595" s="951"/>
      <c r="B595" s="476" t="s">
        <v>458</v>
      </c>
      <c r="C595" s="953"/>
    </row>
    <row r="596" spans="1:4" ht="51.75" thickBot="1" x14ac:dyDescent="0.3">
      <c r="A596" s="943"/>
      <c r="B596" s="440" t="s">
        <v>545</v>
      </c>
      <c r="C596" s="945"/>
    </row>
    <row r="597" spans="1:4" ht="38.25" x14ac:dyDescent="0.25">
      <c r="A597" s="954" t="s">
        <v>22</v>
      </c>
      <c r="B597" s="477" t="s">
        <v>546</v>
      </c>
      <c r="C597" s="957">
        <v>0.2</v>
      </c>
    </row>
    <row r="598" spans="1:4" x14ac:dyDescent="0.25">
      <c r="A598" s="955"/>
      <c r="B598" s="478" t="s">
        <v>458</v>
      </c>
      <c r="C598" s="958"/>
    </row>
    <row r="599" spans="1:4" ht="39" thickBot="1" x14ac:dyDescent="0.3">
      <c r="A599" s="956"/>
      <c r="B599" s="441" t="s">
        <v>547</v>
      </c>
      <c r="C599" s="959"/>
    </row>
    <row r="600" spans="1:4" ht="51.75" thickBot="1" x14ac:dyDescent="0.3">
      <c r="A600" s="572" t="s">
        <v>44</v>
      </c>
      <c r="B600" s="442" t="s">
        <v>548</v>
      </c>
      <c r="C600" s="442">
        <v>0.1</v>
      </c>
    </row>
    <row r="601" spans="1:4" ht="51.75" thickBot="1" x14ac:dyDescent="0.3">
      <c r="A601" s="573" t="s">
        <v>92</v>
      </c>
      <c r="B601" s="473" t="s">
        <v>549</v>
      </c>
      <c r="C601" s="473">
        <v>0.05</v>
      </c>
    </row>
    <row r="602" spans="1:4" ht="39" thickBot="1" x14ac:dyDescent="0.3">
      <c r="A602" s="574" t="s">
        <v>94</v>
      </c>
      <c r="B602" s="474" t="s">
        <v>550</v>
      </c>
      <c r="C602" s="474">
        <v>0</v>
      </c>
    </row>
    <row r="604" spans="1:4" x14ac:dyDescent="0.25">
      <c r="A604" s="1" t="s">
        <v>560</v>
      </c>
    </row>
    <row r="605" spans="1:4" ht="16.5" thickBot="1" x14ac:dyDescent="0.3">
      <c r="A605" t="s">
        <v>559</v>
      </c>
    </row>
    <row r="606" spans="1:4" ht="26.25" thickBot="1" x14ac:dyDescent="0.3">
      <c r="A606" s="444" t="s">
        <v>447</v>
      </c>
      <c r="B606" s="445" t="s">
        <v>13</v>
      </c>
      <c r="C606" s="445" t="s">
        <v>448</v>
      </c>
      <c r="D606" s="546" t="s">
        <v>640</v>
      </c>
    </row>
    <row r="607" spans="1:4" ht="26.25" thickBot="1" x14ac:dyDescent="0.3">
      <c r="A607" s="569" t="s">
        <v>288</v>
      </c>
      <c r="B607" s="446" t="s">
        <v>553</v>
      </c>
      <c r="C607" s="446">
        <v>0.6</v>
      </c>
    </row>
    <row r="608" spans="1:4" ht="26.25" thickBot="1" x14ac:dyDescent="0.3">
      <c r="A608" s="570" t="s">
        <v>26</v>
      </c>
      <c r="B608" s="440" t="s">
        <v>554</v>
      </c>
      <c r="C608" s="440">
        <v>0.4</v>
      </c>
    </row>
    <row r="609" spans="1:4" ht="26.25" thickBot="1" x14ac:dyDescent="0.3">
      <c r="A609" s="571" t="s">
        <v>22</v>
      </c>
      <c r="B609" s="441" t="s">
        <v>555</v>
      </c>
      <c r="C609" s="441">
        <v>0.2</v>
      </c>
    </row>
    <row r="610" spans="1:4" ht="26.25" thickBot="1" x14ac:dyDescent="0.3">
      <c r="A610" s="572" t="s">
        <v>44</v>
      </c>
      <c r="B610" s="442" t="s">
        <v>556</v>
      </c>
      <c r="C610" s="442">
        <v>0.1</v>
      </c>
    </row>
    <row r="611" spans="1:4" ht="26.25" thickBot="1" x14ac:dyDescent="0.3">
      <c r="A611" s="573" t="s">
        <v>92</v>
      </c>
      <c r="B611" s="473" t="s">
        <v>557</v>
      </c>
      <c r="C611" s="473">
        <v>0.05</v>
      </c>
    </row>
    <row r="612" spans="1:4" ht="26.25" thickBot="1" x14ac:dyDescent="0.3">
      <c r="A612" s="574" t="s">
        <v>94</v>
      </c>
      <c r="B612" s="474" t="s">
        <v>558</v>
      </c>
      <c r="C612" s="474">
        <v>0</v>
      </c>
    </row>
    <row r="614" spans="1:4" ht="23.25" x14ac:dyDescent="0.35">
      <c r="A614" s="443" t="s">
        <v>286</v>
      </c>
      <c r="D614" s="546" t="s">
        <v>640</v>
      </c>
    </row>
    <row r="615" spans="1:4" ht="121.5" customHeight="1" x14ac:dyDescent="0.25">
      <c r="A615" s="732" t="s">
        <v>721</v>
      </c>
      <c r="B615" s="732"/>
      <c r="C615" s="732"/>
    </row>
    <row r="623" spans="1:4" x14ac:dyDescent="0.25">
      <c r="A623" s="1" t="s">
        <v>366</v>
      </c>
    </row>
    <row r="640" spans="1:1" x14ac:dyDescent="0.25">
      <c r="A640" s="1" t="s">
        <v>571</v>
      </c>
    </row>
    <row r="641" spans="1:4" ht="16.5" thickBot="1" x14ac:dyDescent="0.3">
      <c r="A641" t="s">
        <v>570</v>
      </c>
    </row>
    <row r="642" spans="1:4" ht="26.25" thickBot="1" x14ac:dyDescent="0.3">
      <c r="A642" s="444" t="s">
        <v>447</v>
      </c>
      <c r="B642" s="445" t="s">
        <v>13</v>
      </c>
      <c r="C642" s="445" t="s">
        <v>448</v>
      </c>
      <c r="D642" s="546" t="s">
        <v>640</v>
      </c>
    </row>
    <row r="643" spans="1:4" ht="25.5" x14ac:dyDescent="0.25">
      <c r="A643" s="936" t="s">
        <v>288</v>
      </c>
      <c r="B643" s="448" t="s">
        <v>561</v>
      </c>
      <c r="C643" s="938">
        <v>1</v>
      </c>
    </row>
    <row r="644" spans="1:4" x14ac:dyDescent="0.25">
      <c r="A644" s="948"/>
      <c r="B644" s="475" t="s">
        <v>458</v>
      </c>
      <c r="C644" s="949"/>
    </row>
    <row r="645" spans="1:4" ht="39" thickBot="1" x14ac:dyDescent="0.3">
      <c r="A645" s="937"/>
      <c r="B645" s="446" t="s">
        <v>562</v>
      </c>
      <c r="C645" s="939"/>
    </row>
    <row r="646" spans="1:4" ht="25.5" x14ac:dyDescent="0.25">
      <c r="A646" s="950" t="s">
        <v>26</v>
      </c>
      <c r="B646" s="449" t="s">
        <v>561</v>
      </c>
      <c r="C646" s="952">
        <v>0.8</v>
      </c>
    </row>
    <row r="647" spans="1:4" x14ac:dyDescent="0.25">
      <c r="A647" s="951"/>
      <c r="B647" s="476" t="s">
        <v>458</v>
      </c>
      <c r="C647" s="953"/>
    </row>
    <row r="648" spans="1:4" ht="39" thickBot="1" x14ac:dyDescent="0.3">
      <c r="A648" s="943"/>
      <c r="B648" s="440" t="s">
        <v>563</v>
      </c>
      <c r="C648" s="945"/>
    </row>
    <row r="649" spans="1:4" ht="38.25" x14ac:dyDescent="0.25">
      <c r="A649" s="954" t="s">
        <v>22</v>
      </c>
      <c r="B649" s="477" t="s">
        <v>564</v>
      </c>
      <c r="C649" s="957">
        <v>0.6</v>
      </c>
    </row>
    <row r="650" spans="1:4" x14ac:dyDescent="0.25">
      <c r="A650" s="955"/>
      <c r="B650" s="478" t="s">
        <v>458</v>
      </c>
      <c r="C650" s="958"/>
    </row>
    <row r="651" spans="1:4" ht="39" thickBot="1" x14ac:dyDescent="0.3">
      <c r="A651" s="956"/>
      <c r="B651" s="441" t="s">
        <v>565</v>
      </c>
      <c r="C651" s="959"/>
    </row>
    <row r="652" spans="1:4" ht="25.5" x14ac:dyDescent="0.25">
      <c r="A652" s="960" t="s">
        <v>44</v>
      </c>
      <c r="B652" s="479" t="s">
        <v>566</v>
      </c>
      <c r="C652" s="963">
        <v>0.4</v>
      </c>
    </row>
    <row r="653" spans="1:4" x14ac:dyDescent="0.25">
      <c r="A653" s="961"/>
      <c r="B653" s="480" t="s">
        <v>458</v>
      </c>
      <c r="C653" s="964"/>
    </row>
    <row r="654" spans="1:4" ht="51" x14ac:dyDescent="0.25">
      <c r="A654" s="961"/>
      <c r="B654" s="479" t="s">
        <v>567</v>
      </c>
      <c r="C654" s="964"/>
    </row>
    <row r="655" spans="1:4" ht="16.5" thickBot="1" x14ac:dyDescent="0.3">
      <c r="A655" s="962"/>
      <c r="B655" s="442"/>
      <c r="C655" s="965"/>
    </row>
    <row r="656" spans="1:4" ht="51.75" thickBot="1" x14ac:dyDescent="0.3">
      <c r="A656" s="573" t="s">
        <v>92</v>
      </c>
      <c r="B656" s="473" t="s">
        <v>568</v>
      </c>
      <c r="C656" s="473">
        <v>0.2</v>
      </c>
    </row>
    <row r="657" spans="1:4" ht="39" thickBot="1" x14ac:dyDescent="0.3">
      <c r="A657" s="574" t="s">
        <v>94</v>
      </c>
      <c r="B657" s="474" t="s">
        <v>569</v>
      </c>
      <c r="C657" s="474">
        <v>0</v>
      </c>
    </row>
    <row r="659" spans="1:4" x14ac:dyDescent="0.25">
      <c r="A659" s="1" t="s">
        <v>582</v>
      </c>
    </row>
    <row r="660" spans="1:4" ht="16.5" thickBot="1" x14ac:dyDescent="0.3">
      <c r="A660" t="s">
        <v>581</v>
      </c>
    </row>
    <row r="661" spans="1:4" ht="26.25" thickBot="1" x14ac:dyDescent="0.3">
      <c r="A661" s="444" t="s">
        <v>447</v>
      </c>
      <c r="B661" s="445" t="s">
        <v>13</v>
      </c>
      <c r="C661" s="445" t="s">
        <v>448</v>
      </c>
      <c r="D661" s="546" t="s">
        <v>640</v>
      </c>
    </row>
    <row r="662" spans="1:4" ht="25.5" x14ac:dyDescent="0.25">
      <c r="A662" s="936" t="s">
        <v>288</v>
      </c>
      <c r="B662" s="448" t="s">
        <v>572</v>
      </c>
      <c r="C662" s="938">
        <v>0.6</v>
      </c>
    </row>
    <row r="663" spans="1:4" x14ac:dyDescent="0.25">
      <c r="A663" s="948"/>
      <c r="B663" s="475" t="s">
        <v>458</v>
      </c>
      <c r="C663" s="949"/>
    </row>
    <row r="664" spans="1:4" ht="39" thickBot="1" x14ac:dyDescent="0.3">
      <c r="A664" s="937"/>
      <c r="B664" s="446" t="s">
        <v>573</v>
      </c>
      <c r="C664" s="939"/>
    </row>
    <row r="665" spans="1:4" ht="25.5" x14ac:dyDescent="0.25">
      <c r="A665" s="950" t="s">
        <v>26</v>
      </c>
      <c r="B665" s="449" t="s">
        <v>572</v>
      </c>
      <c r="C665" s="952">
        <v>0.4</v>
      </c>
    </row>
    <row r="666" spans="1:4" x14ac:dyDescent="0.25">
      <c r="A666" s="951"/>
      <c r="B666" s="476" t="s">
        <v>458</v>
      </c>
      <c r="C666" s="953"/>
    </row>
    <row r="667" spans="1:4" ht="51.75" thickBot="1" x14ac:dyDescent="0.3">
      <c r="A667" s="943"/>
      <c r="B667" s="440" t="s">
        <v>574</v>
      </c>
      <c r="C667" s="945"/>
    </row>
    <row r="668" spans="1:4" ht="38.25" x14ac:dyDescent="0.25">
      <c r="A668" s="954" t="s">
        <v>22</v>
      </c>
      <c r="B668" s="477" t="s">
        <v>575</v>
      </c>
      <c r="C668" s="957">
        <v>0.3</v>
      </c>
    </row>
    <row r="669" spans="1:4" x14ac:dyDescent="0.25">
      <c r="A669" s="955"/>
      <c r="B669" s="478" t="s">
        <v>458</v>
      </c>
      <c r="C669" s="958"/>
    </row>
    <row r="670" spans="1:4" ht="39" thickBot="1" x14ac:dyDescent="0.3">
      <c r="A670" s="956"/>
      <c r="B670" s="441" t="s">
        <v>576</v>
      </c>
      <c r="C670" s="959"/>
    </row>
    <row r="671" spans="1:4" ht="25.5" x14ac:dyDescent="0.25">
      <c r="A671" s="960" t="s">
        <v>44</v>
      </c>
      <c r="B671" s="479" t="s">
        <v>577</v>
      </c>
      <c r="C671" s="963">
        <v>0.2</v>
      </c>
    </row>
    <row r="672" spans="1:4" x14ac:dyDescent="0.25">
      <c r="A672" s="961"/>
      <c r="B672" s="480" t="s">
        <v>458</v>
      </c>
      <c r="C672" s="964"/>
    </row>
    <row r="673" spans="1:4" ht="39" thickBot="1" x14ac:dyDescent="0.3">
      <c r="A673" s="962"/>
      <c r="B673" s="442" t="s">
        <v>578</v>
      </c>
      <c r="C673" s="965"/>
    </row>
    <row r="674" spans="1:4" ht="51.75" thickBot="1" x14ac:dyDescent="0.3">
      <c r="A674" s="573" t="s">
        <v>92</v>
      </c>
      <c r="B674" s="473" t="s">
        <v>579</v>
      </c>
      <c r="C674" s="473">
        <v>0.1</v>
      </c>
    </row>
    <row r="675" spans="1:4" ht="39" thickBot="1" x14ac:dyDescent="0.3">
      <c r="A675" s="574" t="s">
        <v>94</v>
      </c>
      <c r="B675" s="474" t="s">
        <v>580</v>
      </c>
      <c r="C675" s="474">
        <v>0</v>
      </c>
    </row>
    <row r="676" spans="1:4" x14ac:dyDescent="0.25">
      <c r="A676" s="1"/>
    </row>
    <row r="677" spans="1:4" x14ac:dyDescent="0.25">
      <c r="A677" s="1" t="s">
        <v>584</v>
      </c>
    </row>
    <row r="678" spans="1:4" ht="16.5" thickBot="1" x14ac:dyDescent="0.3">
      <c r="A678" t="s">
        <v>583</v>
      </c>
    </row>
    <row r="679" spans="1:4" ht="26.25" thickBot="1" x14ac:dyDescent="0.3">
      <c r="A679" s="444" t="s">
        <v>447</v>
      </c>
      <c r="B679" s="445" t="s">
        <v>13</v>
      </c>
      <c r="C679" s="445" t="s">
        <v>448</v>
      </c>
      <c r="D679" s="546" t="s">
        <v>640</v>
      </c>
    </row>
    <row r="680" spans="1:4" ht="26.25" thickBot="1" x14ac:dyDescent="0.3">
      <c r="A680" s="569" t="s">
        <v>288</v>
      </c>
      <c r="B680" s="446" t="s">
        <v>585</v>
      </c>
      <c r="C680" s="446">
        <v>0.8</v>
      </c>
    </row>
    <row r="681" spans="1:4" ht="26.25" thickBot="1" x14ac:dyDescent="0.3">
      <c r="A681" s="570" t="s">
        <v>26</v>
      </c>
      <c r="B681" s="440" t="s">
        <v>586</v>
      </c>
      <c r="C681" s="440">
        <v>0.5</v>
      </c>
    </row>
    <row r="682" spans="1:4" ht="26.25" thickBot="1" x14ac:dyDescent="0.3">
      <c r="A682" s="571" t="s">
        <v>22</v>
      </c>
      <c r="B682" s="441" t="s">
        <v>587</v>
      </c>
      <c r="C682" s="441">
        <v>0.3</v>
      </c>
    </row>
    <row r="683" spans="1:4" ht="26.25" thickBot="1" x14ac:dyDescent="0.3">
      <c r="A683" s="572" t="s">
        <v>44</v>
      </c>
      <c r="B683" s="442" t="s">
        <v>588</v>
      </c>
      <c r="C683" s="442">
        <v>0.1</v>
      </c>
    </row>
    <row r="684" spans="1:4" ht="26.25" thickBot="1" x14ac:dyDescent="0.3">
      <c r="A684" s="573" t="s">
        <v>92</v>
      </c>
      <c r="B684" s="473" t="s">
        <v>589</v>
      </c>
      <c r="C684" s="473">
        <v>0.05</v>
      </c>
    </row>
    <row r="685" spans="1:4" ht="26.25" thickBot="1" x14ac:dyDescent="0.3">
      <c r="A685" s="574" t="s">
        <v>94</v>
      </c>
      <c r="B685" s="474" t="s">
        <v>590</v>
      </c>
      <c r="C685" s="474">
        <v>0</v>
      </c>
    </row>
    <row r="689" spans="1:5" x14ac:dyDescent="0.25">
      <c r="A689" s="978" t="s">
        <v>664</v>
      </c>
      <c r="B689" s="979"/>
      <c r="D689" s="546" t="s">
        <v>641</v>
      </c>
    </row>
    <row r="690" spans="1:5" x14ac:dyDescent="0.25">
      <c r="A690" t="s">
        <v>663</v>
      </c>
      <c r="B690" t="s">
        <v>667</v>
      </c>
    </row>
    <row r="691" spans="1:5" ht="76.5" customHeight="1" x14ac:dyDescent="0.25">
      <c r="A691" s="984" t="s">
        <v>669</v>
      </c>
      <c r="B691" s="985"/>
      <c r="C691" s="986"/>
      <c r="E691" s="584"/>
    </row>
    <row r="692" spans="1:5" ht="270" customHeight="1" x14ac:dyDescent="0.25">
      <c r="B692" s="556"/>
      <c r="C692" s="556"/>
    </row>
    <row r="693" spans="1:5" x14ac:dyDescent="0.25">
      <c r="C693"/>
    </row>
    <row r="694" spans="1:5" x14ac:dyDescent="0.25">
      <c r="C694"/>
    </row>
    <row r="695" spans="1:5" x14ac:dyDescent="0.25">
      <c r="A695" s="978" t="s">
        <v>665</v>
      </c>
      <c r="B695" s="979"/>
      <c r="C695" s="556"/>
    </row>
    <row r="696" spans="1:5" ht="30.75" customHeight="1" x14ac:dyDescent="0.25">
      <c r="A696" s="980" t="s">
        <v>666</v>
      </c>
      <c r="B696" s="980"/>
      <c r="C696" s="980"/>
    </row>
    <row r="697" spans="1:5" ht="140.25" customHeight="1" x14ac:dyDescent="0.25">
      <c r="A697" s="981" t="s">
        <v>722</v>
      </c>
      <c r="B697" s="982"/>
      <c r="C697" s="983"/>
      <c r="E697" s="546"/>
    </row>
    <row r="722" spans="4:4" x14ac:dyDescent="0.25">
      <c r="D722" s="546" t="s">
        <v>641</v>
      </c>
    </row>
    <row r="723" spans="4:4" ht="48" customHeight="1" x14ac:dyDescent="0.25"/>
  </sheetData>
  <sheetProtection algorithmName="SHA-512" hashValue="moZASkL4yXu1IXHa/tH81wG3yM8E7pt/mJbUEbGesbJY0IUHbtN12LeZ+OwsrYs19/QwMGTwq+kaGHH++D6hug==" saltValue="eQpBRle0fd6W0e5E1/hE+w==" spinCount="100000" sheet="1" objects="1" scenarios="1"/>
  <mergeCells count="100">
    <mergeCell ref="A695:B695"/>
    <mergeCell ref="A696:C696"/>
    <mergeCell ref="A689:B689"/>
    <mergeCell ref="A697:C697"/>
    <mergeCell ref="A691:C691"/>
    <mergeCell ref="A665:A667"/>
    <mergeCell ref="C665:C667"/>
    <mergeCell ref="A668:A670"/>
    <mergeCell ref="C668:C670"/>
    <mergeCell ref="A671:A673"/>
    <mergeCell ref="C671:C673"/>
    <mergeCell ref="A649:A651"/>
    <mergeCell ref="C649:C651"/>
    <mergeCell ref="A652:A655"/>
    <mergeCell ref="C652:C655"/>
    <mergeCell ref="A662:A664"/>
    <mergeCell ref="C662:C664"/>
    <mergeCell ref="A615:C615"/>
    <mergeCell ref="A643:A645"/>
    <mergeCell ref="C643:C645"/>
    <mergeCell ref="A646:A648"/>
    <mergeCell ref="C646:C648"/>
    <mergeCell ref="A591:A593"/>
    <mergeCell ref="C591:C593"/>
    <mergeCell ref="A594:A596"/>
    <mergeCell ref="C594:C596"/>
    <mergeCell ref="A597:A599"/>
    <mergeCell ref="C597:C599"/>
    <mergeCell ref="A578:A580"/>
    <mergeCell ref="C578:C580"/>
    <mergeCell ref="A581:A583"/>
    <mergeCell ref="C581:C583"/>
    <mergeCell ref="A584:A586"/>
    <mergeCell ref="C584:C586"/>
    <mergeCell ref="A569:A571"/>
    <mergeCell ref="C569:C571"/>
    <mergeCell ref="A572:A574"/>
    <mergeCell ref="C572:C574"/>
    <mergeCell ref="A575:A577"/>
    <mergeCell ref="C575:C577"/>
    <mergeCell ref="A510:A512"/>
    <mergeCell ref="C510:C512"/>
    <mergeCell ref="A513:A515"/>
    <mergeCell ref="C513:C515"/>
    <mergeCell ref="A531:C531"/>
    <mergeCell ref="A496:A498"/>
    <mergeCell ref="C496:C498"/>
    <mergeCell ref="A504:A506"/>
    <mergeCell ref="C504:C506"/>
    <mergeCell ref="A507:A509"/>
    <mergeCell ref="C507:C509"/>
    <mergeCell ref="A486:A488"/>
    <mergeCell ref="C486:C488"/>
    <mergeCell ref="A489:A491"/>
    <mergeCell ref="C489:C491"/>
    <mergeCell ref="A492:A495"/>
    <mergeCell ref="C492:C495"/>
    <mergeCell ref="A445:A447"/>
    <mergeCell ref="C445:C447"/>
    <mergeCell ref="A461:C461"/>
    <mergeCell ref="A483:A485"/>
    <mergeCell ref="C483:C485"/>
    <mergeCell ref="A436:A438"/>
    <mergeCell ref="C436:C438"/>
    <mergeCell ref="A439:A441"/>
    <mergeCell ref="C439:C441"/>
    <mergeCell ref="A442:A444"/>
    <mergeCell ref="C442:C444"/>
    <mergeCell ref="A423:A425"/>
    <mergeCell ref="C423:C425"/>
    <mergeCell ref="A430:A432"/>
    <mergeCell ref="C430:C432"/>
    <mergeCell ref="A433:A435"/>
    <mergeCell ref="C433:C435"/>
    <mergeCell ref="A414:A416"/>
    <mergeCell ref="C414:C416"/>
    <mergeCell ref="A417:A419"/>
    <mergeCell ref="C417:C419"/>
    <mergeCell ref="A420:A422"/>
    <mergeCell ref="C420:C422"/>
    <mergeCell ref="A373:C373"/>
    <mergeCell ref="A408:A410"/>
    <mergeCell ref="C408:C410"/>
    <mergeCell ref="A411:A413"/>
    <mergeCell ref="C411:C413"/>
    <mergeCell ref="A225:A226"/>
    <mergeCell ref="B225:B226"/>
    <mergeCell ref="C225:C226"/>
    <mergeCell ref="A239:C239"/>
    <mergeCell ref="A327:C327"/>
    <mergeCell ref="A157:C157"/>
    <mergeCell ref="A185:A186"/>
    <mergeCell ref="B185:B186"/>
    <mergeCell ref="C185:C186"/>
    <mergeCell ref="A195:C195"/>
    <mergeCell ref="A2:C3"/>
    <mergeCell ref="A16:C16"/>
    <mergeCell ref="A79:C79"/>
    <mergeCell ref="A119:C119"/>
    <mergeCell ref="A156:C156"/>
  </mergeCells>
  <hyperlinks>
    <hyperlink ref="E1" location="'Baseline data entry'!B64" display="go back " xr:uid="{00000000-0004-0000-0600-000000000000}"/>
    <hyperlink ref="D43" location="'Baseline data entry'!B64" tooltip="go back to baseline data entry" display="go back" xr:uid="{00000000-0004-0000-0600-000001000000}"/>
    <hyperlink ref="D52" location="'Baseline data entry'!B64" tooltip="go back to baseline data entry" display="go back" xr:uid="{00000000-0004-0000-0600-000002000000}"/>
    <hyperlink ref="D59" location="'Baseline data entry'!B64" tooltip="go back to baseline data entry" display="go back " xr:uid="{00000000-0004-0000-0600-000003000000}"/>
    <hyperlink ref="D71" location="'Baseline data entry'!B64" tooltip="go back to baseline data entry" display="go back" xr:uid="{00000000-0004-0000-0600-000004000000}"/>
    <hyperlink ref="D102" location="'Baseline data entry'!B68" tooltip="go back to baseline data entry" display="go back " xr:uid="{00000000-0004-0000-0600-000005000000}"/>
    <hyperlink ref="D109" location="'Baseline data entry'!B68" tooltip="go back to baseline data entry" display="go back " xr:uid="{00000000-0004-0000-0600-000006000000}"/>
    <hyperlink ref="D146" location="'Baseline data entry'!B70" tooltip="go back to baseline data entry" display="go back " xr:uid="{00000000-0004-0000-0600-000007000000}"/>
    <hyperlink ref="D184" location="'Baseline data entry'!B72" tooltip="go back to baseline data entry" display="go back " xr:uid="{00000000-0004-0000-0600-000008000000}"/>
    <hyperlink ref="D217" location="'Baseline data entry'!B74" tooltip="go back to baseline data entry" display="go back" xr:uid="{00000000-0004-0000-0600-000009000000}"/>
    <hyperlink ref="D224" location="'Baseline data entry'!B74" tooltip="go back to baseline data entry" display="go back" xr:uid="{00000000-0004-0000-0600-00000A000000}"/>
    <hyperlink ref="D232" location="'Baseline data entry'!B74" tooltip="go back to baseline data entry" display="go back" xr:uid="{00000000-0004-0000-0600-00000B000000}"/>
    <hyperlink ref="D275" location="'Baseline data entry'!B77" tooltip="go back to baseline data entry" display="go back " xr:uid="{00000000-0004-0000-0600-00000C000000}"/>
    <hyperlink ref="D286" location="'Baseline data entry'!B77" display="go back " xr:uid="{00000000-0004-0000-0600-00000D000000}"/>
    <hyperlink ref="D293" location="'Baseline data entry'!B77" display="go back " xr:uid="{00000000-0004-0000-0600-00000E000000}"/>
    <hyperlink ref="D301" location="'Baseline data entry'!B77" display="go back " xr:uid="{00000000-0004-0000-0600-00000F000000}"/>
    <hyperlink ref="D309" location="'Baseline data entry'!B77" display="go back " xr:uid="{00000000-0004-0000-0600-000010000000}"/>
    <hyperlink ref="D320" location="'Baseline data entry'!B77" display="go back " xr:uid="{00000000-0004-0000-0600-000011000000}"/>
    <hyperlink ref="D346" location="'Baseline data entry'!B83" display="go back " xr:uid="{00000000-0004-0000-0600-000012000000}"/>
    <hyperlink ref="D355" location="'Baseline data entry'!B83" display="go back " xr:uid="{00000000-0004-0000-0600-000013000000}"/>
    <hyperlink ref="D396" location="'Baseline data entry'!B87" display="go back " xr:uid="{00000000-0004-0000-0600-000014000000}"/>
    <hyperlink ref="D407" location="'Baseline data entry'!B87" display="go back " xr:uid="{00000000-0004-0000-0600-000015000000}"/>
    <hyperlink ref="D429" location="'Baseline data entry'!B87" display="go back " xr:uid="{00000000-0004-0000-0600-000016000000}"/>
    <hyperlink ref="D451" location="'Baseline data entry'!B87" display="go back " xr:uid="{00000000-0004-0000-0600-000017000000}"/>
    <hyperlink ref="D460" location="'Baseline data entry'!B91" display="go back " xr:uid="{00000000-0004-0000-0600-000018000000}"/>
    <hyperlink ref="D372" location="'Baseline data entry'!B87" display="go back " xr:uid="{00000000-0004-0000-0600-000019000000}"/>
    <hyperlink ref="D482" location="'Baseline data entry'!B91" display="go back " xr:uid="{00000000-0004-0000-0600-00001A000000}"/>
    <hyperlink ref="D503" location="'Baseline data entry'!B91" display="go back " xr:uid="{00000000-0004-0000-0600-00001B000000}"/>
    <hyperlink ref="D521" location="'Baseline data entry'!B91" display="go back " xr:uid="{00000000-0004-0000-0600-00001C000000}"/>
    <hyperlink ref="D530" location="'Baseline data entry'!B94" tooltip="go back to baseline data entry" display="go back " xr:uid="{00000000-0004-0000-0600-00001D000000}"/>
    <hyperlink ref="D558" location="'Baseline data entry'!B94" tooltip="go back to baseline data entry" display="go back " xr:uid="{00000000-0004-0000-0600-00001E000000}"/>
    <hyperlink ref="D568" location="'Baseline data entry'!B94" tooltip="go back to baseline data entry" display="go back " xr:uid="{00000000-0004-0000-0600-00001F000000}"/>
    <hyperlink ref="D590" location="'Baseline data entry'!B94" tooltip="go back to baseline data entry" display="go back " xr:uid="{00000000-0004-0000-0600-000020000000}"/>
    <hyperlink ref="D606" location="'Baseline data entry'!B94" tooltip="go back to baseline data entry" display="go back " xr:uid="{00000000-0004-0000-0600-000021000000}"/>
    <hyperlink ref="D614" location="'Baseline data entry'!B102" tooltip="go back to baseline data entry" display="go back " xr:uid="{00000000-0004-0000-0600-000022000000}"/>
    <hyperlink ref="D642" location="'Baseline data entry'!B102" tooltip="go back to baseline data entry" display="go back " xr:uid="{00000000-0004-0000-0600-000023000000}"/>
    <hyperlink ref="D689" location="'Baseline data entry'!A59" display="go back" xr:uid="{00000000-0004-0000-0600-000024000000}"/>
    <hyperlink ref="D78" location="'Baseline data entry'!B68" tooltip="go back to baseline data entry" display="go back" xr:uid="{00000000-0004-0000-0600-000025000000}"/>
    <hyperlink ref="D118" location="'Baseline data entry'!B70" tooltip="go back to baseline data entry" display="go back " xr:uid="{00000000-0004-0000-0600-000026000000}"/>
    <hyperlink ref="D155" location="'Baseline data entry'!B72" tooltip="go back to baseline data entry" display="go back " xr:uid="{00000000-0004-0000-0600-000027000000}"/>
    <hyperlink ref="D194" location="'Baseline data entry'!B74" tooltip="go back to baseline data entry" display="go back " xr:uid="{00000000-0004-0000-0600-000028000000}"/>
    <hyperlink ref="D238" location="'Baseline data entry'!B77" tooltip="go back to baseline data entry" display="go back" xr:uid="{00000000-0004-0000-0600-000029000000}"/>
    <hyperlink ref="D326" location="'Baseline data entry'!B83" display="go back " xr:uid="{00000000-0004-0000-0600-00002A000000}"/>
    <hyperlink ref="D661" location="'Baseline data entry'!B102" tooltip="go back to baseline data entry" display="go back " xr:uid="{00000000-0004-0000-0600-00002B000000}"/>
    <hyperlink ref="D679" location="'Baseline data entry'!B102" tooltip="go back to baseline data entry" display="go back " xr:uid="{00000000-0004-0000-0600-00002C000000}"/>
    <hyperlink ref="D722" location="'Baseline data entry'!A59" display="go back" xr:uid="{00000000-0004-0000-0600-00002D000000}"/>
  </hyperlinks>
  <pageMargins left="0.7" right="0.7" top="0.75" bottom="0.75" header="0.3" footer="0.3"/>
  <pageSetup paperSize="9" orientation="portrait" horizontalDpi="30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BR279"/>
  <sheetViews>
    <sheetView showGridLines="0" showRowColHeaders="0" zoomScaleNormal="100" zoomScalePageLayoutView="171" workbookViewId="0"/>
  </sheetViews>
  <sheetFormatPr baseColWidth="10" defaultColWidth="10.875" defaultRowHeight="15.75" x14ac:dyDescent="0.25"/>
  <cols>
    <col min="1" max="1" width="9.625" style="148" customWidth="1"/>
    <col min="2" max="2" width="66.5" style="145" customWidth="1"/>
    <col min="3" max="6" width="15.625" style="158" customWidth="1"/>
    <col min="7" max="7" width="15.625" style="680" customWidth="1"/>
    <col min="8" max="8" width="10.625" style="142" customWidth="1"/>
    <col min="9" max="9" width="10" style="143" bestFit="1" customWidth="1"/>
    <col min="10" max="13" width="10.625" style="143" customWidth="1"/>
    <col min="14" max="14" width="23.625" style="143" customWidth="1"/>
    <col min="15" max="15" width="11.375" style="144" customWidth="1"/>
    <col min="16" max="16" width="11.625" style="144" customWidth="1"/>
    <col min="17" max="35" width="10.875" style="144"/>
    <col min="36" max="56" width="10.875" style="145"/>
    <col min="57" max="57" width="13" style="145" customWidth="1"/>
    <col min="58" max="16384" width="10.875" style="145"/>
  </cols>
  <sheetData>
    <row r="1" spans="1:30" ht="26.25" thickBot="1" x14ac:dyDescent="0.35">
      <c r="A1" s="543" t="s">
        <v>116</v>
      </c>
      <c r="B1" s="159" t="s">
        <v>117</v>
      </c>
      <c r="C1" s="160" t="s">
        <v>9</v>
      </c>
      <c r="D1" s="160" t="s">
        <v>99</v>
      </c>
      <c r="E1" s="160" t="s">
        <v>100</v>
      </c>
      <c r="F1" s="160" t="s">
        <v>101</v>
      </c>
      <c r="G1" s="377" t="s">
        <v>118</v>
      </c>
      <c r="H1" s="644"/>
      <c r="I1" s="1000" t="s">
        <v>119</v>
      </c>
      <c r="J1" s="1001"/>
      <c r="K1" s="1001"/>
      <c r="L1" s="1001"/>
      <c r="M1" s="1002"/>
    </row>
    <row r="2" spans="1:30" ht="19.5" thickBot="1" x14ac:dyDescent="0.35">
      <c r="A2" s="161" t="s">
        <v>120</v>
      </c>
      <c r="B2" s="162"/>
      <c r="C2" s="163"/>
      <c r="D2" s="163"/>
      <c r="E2" s="163"/>
      <c r="F2" s="163"/>
      <c r="G2" s="670"/>
      <c r="H2" s="645"/>
      <c r="I2" s="664" t="s">
        <v>121</v>
      </c>
      <c r="J2" s="665"/>
      <c r="K2" s="665"/>
      <c r="L2" s="665"/>
      <c r="M2" s="666"/>
    </row>
    <row r="3" spans="1:30" x14ac:dyDescent="0.25">
      <c r="A3" s="1003" t="s">
        <v>122</v>
      </c>
      <c r="B3" s="164" t="s">
        <v>719</v>
      </c>
      <c r="C3" s="165" t="s">
        <v>39</v>
      </c>
      <c r="D3" s="165" t="s">
        <v>39</v>
      </c>
      <c r="E3" s="165" t="s">
        <v>39</v>
      </c>
      <c r="F3" s="165" t="s">
        <v>39</v>
      </c>
      <c r="G3" s="671"/>
      <c r="H3" s="646"/>
      <c r="I3" s="379" t="s">
        <v>123</v>
      </c>
      <c r="J3" s="380" t="s">
        <v>9</v>
      </c>
      <c r="K3" s="380" t="s">
        <v>99</v>
      </c>
      <c r="L3" s="380" t="s">
        <v>100</v>
      </c>
      <c r="M3" s="381" t="s">
        <v>101</v>
      </c>
      <c r="N3" s="147"/>
      <c r="AD3" s="148"/>
    </row>
    <row r="4" spans="1:30" x14ac:dyDescent="0.25">
      <c r="A4" s="1004"/>
      <c r="B4" s="166" t="s">
        <v>29</v>
      </c>
      <c r="C4" s="167">
        <v>0</v>
      </c>
      <c r="D4" s="167">
        <v>0</v>
      </c>
      <c r="E4" s="167">
        <v>0</v>
      </c>
      <c r="F4" s="167">
        <v>0</v>
      </c>
      <c r="G4" s="1014">
        <f>INDEX(Uncertainty_Factors_Table[Value],MATCH('Baseline data entry'!I77,Uncertainty_factors,0))</f>
        <v>1</v>
      </c>
      <c r="H4" s="646"/>
      <c r="I4" s="206" t="s">
        <v>29</v>
      </c>
      <c r="J4" s="207">
        <f>C217-C135-C119-C103-C226-C69</f>
        <v>0</v>
      </c>
      <c r="K4" s="207">
        <f>D217-D135-D119-D103-D226-D69</f>
        <v>0</v>
      </c>
      <c r="L4" s="207">
        <f>E217-E135-E119-E103-E226-E69</f>
        <v>0</v>
      </c>
      <c r="M4" s="208">
        <f>F217-F135-F119-F103-F226-F69</f>
        <v>0</v>
      </c>
      <c r="N4" s="149"/>
      <c r="AD4" s="148"/>
    </row>
    <row r="5" spans="1:30" x14ac:dyDescent="0.25">
      <c r="A5" s="1004"/>
      <c r="B5" s="166" t="s">
        <v>32</v>
      </c>
      <c r="C5" s="168" t="e">
        <f>(INDEX(Reductions_Table[Value],MATCH("6.1_"&amp;'Baseline data entry'!E77,Reductions_Table[ID3],0))+(INDEX(Reductions_Table[Value],MATCH("6.2_"&amp;'Baseline data entry'!E78,Reductions_Table[ID3],0))*INDEX(Reductions_Table[Value],MATCH("6.3_"&amp;'Baseline data entry'!E79,Reductions_Table[ID3],0))*INDEX(Reductions_Table[Value],MATCH("6.4_"&amp;'Baseline data entry'!E80,Reductions_Table[ID3],0))*INDEX(Reductions_Table[Value],MATCH("6.5_"&amp;'Baseline data entry'!E81,Reductions_Table[ID3],0))*INDEX(Reductions_Table[Value],MATCH("6.6_"&amp;'Baseline data entry'!E82,Reductions_Table[ID3],0))))/100</f>
        <v>#N/A</v>
      </c>
      <c r="D5" s="168" t="e">
        <f>(INDEX(Reductions_Table[Value],MATCH("6.1_"&amp;'Scenario data entry'!F82,Reductions_Table[ID3],0))+(INDEX(Reductions_Table[Value],MATCH("6.2_"&amp;'Scenario data entry'!F83,Reductions_Table[ID3],0))*INDEX(Reductions_Table[Value],MATCH("6.3_"&amp;'Scenario data entry'!F84,Reductions_Table[ID3],0))*INDEX(Reductions_Table[Value],MATCH("6.4_"&amp;'Scenario data entry'!F85,Reductions_Table[ID3],0))*INDEX(Reductions_Table[Value],MATCH("6.5_"&amp;'Scenario data entry'!F86,Reductions_Table[ID3],0))*INDEX(Reductions_Table[Value],MATCH("6.6_"&amp;'Scenario data entry'!F87,Reductions_Table[ID3],0))))/100</f>
        <v>#N/A</v>
      </c>
      <c r="E5" s="168" t="e">
        <f>(INDEX(Reductions_Table[Value],MATCH("6.1_"&amp;'Scenario data entry'!G82,Reductions_Table[ID3],0))+(INDEX(Reductions_Table[Value],MATCH("6.2_"&amp;'Scenario data entry'!G83,Reductions_Table[ID3],0))*INDEX(Reductions_Table[Value],MATCH("6.3_"&amp;'Scenario data entry'!G84,Reductions_Table[ID3],0))*INDEX(Reductions_Table[Value],MATCH("6.4_"&amp;'Scenario data entry'!G85,Reductions_Table[ID3],0))*INDEX(Reductions_Table[Value],MATCH("6.5_"&amp;'Scenario data entry'!G86,Reductions_Table[ID3],0))*INDEX(Reductions_Table[Value],MATCH("6.6_"&amp;'Scenario data entry'!G87,Reductions_Table[ID3],0))))/100</f>
        <v>#N/A</v>
      </c>
      <c r="F5" s="168" t="e">
        <f>(INDEX(Reductions_Table[Value],MATCH("6.1_"&amp;'Scenario data entry'!H82,Reductions_Table[ID3],0))+(INDEX(Reductions_Table[Value],MATCH("6.2_"&amp;'Scenario data entry'!H83,Reductions_Table[ID3],0))*INDEX(Reductions_Table[Value],MATCH("6.3_"&amp;'Scenario data entry'!H84,Reductions_Table[ID3],0))*INDEX(Reductions_Table[Value],MATCH("6.4_"&amp;'Scenario data entry'!H85,Reductions_Table[ID3],0))*INDEX(Reductions_Table[Value],MATCH("6.5_"&amp;'Scenario data entry'!H86,Reductions_Table[ID3],0))*INDEX(Reductions_Table[Value],MATCH("6.6_"&amp;'Scenario data entry'!H87,Reductions_Table[ID3],0))))/100</f>
        <v>#N/A</v>
      </c>
      <c r="G5" s="1014"/>
      <c r="H5" s="646"/>
      <c r="I5" s="206" t="s">
        <v>32</v>
      </c>
      <c r="J5" s="207" t="e">
        <f>C218-C136-C120-C104-C276-C277-C278-C279-C70</f>
        <v>#N/A</v>
      </c>
      <c r="K5" s="207" t="e">
        <f>D218-D136-D120-D104-D276-D277-D278-D279-D70</f>
        <v>#N/A</v>
      </c>
      <c r="L5" s="207" t="e">
        <f>E218-E136-E120-E104-E276-E277-E278-E279-E70</f>
        <v>#N/A</v>
      </c>
      <c r="M5" s="208" t="e">
        <f>F218-F136-F120-F104-F276-F277-F278-F279-F70</f>
        <v>#N/A</v>
      </c>
      <c r="N5" s="149"/>
      <c r="AD5" s="148"/>
    </row>
    <row r="6" spans="1:30" x14ac:dyDescent="0.25">
      <c r="A6" s="1004"/>
      <c r="B6" s="166" t="s">
        <v>33</v>
      </c>
      <c r="C6" s="167">
        <v>0</v>
      </c>
      <c r="D6" s="167">
        <v>0</v>
      </c>
      <c r="E6" s="167">
        <v>0</v>
      </c>
      <c r="F6" s="167">
        <v>0</v>
      </c>
      <c r="G6" s="1014"/>
      <c r="H6" s="646"/>
      <c r="I6" s="206" t="s">
        <v>33</v>
      </c>
      <c r="J6" s="209">
        <f t="shared" ref="J6:M9" si="0">C219-C137-C121-C105-C228-C71</f>
        <v>0</v>
      </c>
      <c r="K6" s="209">
        <f t="shared" si="0"/>
        <v>0</v>
      </c>
      <c r="L6" s="209">
        <f t="shared" si="0"/>
        <v>0</v>
      </c>
      <c r="M6" s="210">
        <f t="shared" si="0"/>
        <v>0</v>
      </c>
      <c r="N6" s="149"/>
      <c r="AD6" s="148"/>
    </row>
    <row r="7" spans="1:30" x14ac:dyDescent="0.25">
      <c r="A7" s="1004"/>
      <c r="B7" s="166" t="s">
        <v>34</v>
      </c>
      <c r="C7" s="167">
        <v>0</v>
      </c>
      <c r="D7" s="167">
        <v>0</v>
      </c>
      <c r="E7" s="167">
        <v>0</v>
      </c>
      <c r="F7" s="167">
        <v>0</v>
      </c>
      <c r="G7" s="1014"/>
      <c r="H7" s="646"/>
      <c r="I7" s="211" t="s">
        <v>34</v>
      </c>
      <c r="J7" s="209">
        <f t="shared" si="0"/>
        <v>0</v>
      </c>
      <c r="K7" s="209">
        <f t="shared" si="0"/>
        <v>0</v>
      </c>
      <c r="L7" s="209">
        <f t="shared" si="0"/>
        <v>0</v>
      </c>
      <c r="M7" s="210">
        <f t="shared" si="0"/>
        <v>0</v>
      </c>
      <c r="N7" s="149"/>
      <c r="AD7" s="148"/>
    </row>
    <row r="8" spans="1:30" x14ac:dyDescent="0.25">
      <c r="A8" s="1004"/>
      <c r="B8" s="166" t="s">
        <v>35</v>
      </c>
      <c r="C8" s="167">
        <v>0</v>
      </c>
      <c r="D8" s="167">
        <v>0</v>
      </c>
      <c r="E8" s="167">
        <v>0</v>
      </c>
      <c r="F8" s="167">
        <v>0</v>
      </c>
      <c r="G8" s="1014"/>
      <c r="H8" s="646"/>
      <c r="I8" s="206" t="s">
        <v>35</v>
      </c>
      <c r="J8" s="209">
        <f t="shared" si="0"/>
        <v>0</v>
      </c>
      <c r="K8" s="209">
        <f t="shared" si="0"/>
        <v>0</v>
      </c>
      <c r="L8" s="209">
        <f t="shared" si="0"/>
        <v>0</v>
      </c>
      <c r="M8" s="210">
        <f t="shared" si="0"/>
        <v>0</v>
      </c>
      <c r="N8" s="149"/>
      <c r="AD8" s="148"/>
    </row>
    <row r="9" spans="1:30" x14ac:dyDescent="0.25">
      <c r="A9" s="1004"/>
      <c r="B9" s="166" t="s">
        <v>36</v>
      </c>
      <c r="C9" s="167">
        <v>0</v>
      </c>
      <c r="D9" s="167">
        <v>0</v>
      </c>
      <c r="E9" s="167">
        <v>0</v>
      </c>
      <c r="F9" s="167">
        <v>0</v>
      </c>
      <c r="G9" s="1014"/>
      <c r="H9" s="646"/>
      <c r="I9" s="211" t="s">
        <v>36</v>
      </c>
      <c r="J9" s="209">
        <f t="shared" si="0"/>
        <v>0</v>
      </c>
      <c r="K9" s="209">
        <f t="shared" si="0"/>
        <v>0</v>
      </c>
      <c r="L9" s="209">
        <f t="shared" si="0"/>
        <v>0</v>
      </c>
      <c r="M9" s="210">
        <f t="shared" si="0"/>
        <v>0</v>
      </c>
      <c r="N9" s="149"/>
      <c r="AD9" s="148"/>
    </row>
    <row r="10" spans="1:30" x14ac:dyDescent="0.25">
      <c r="A10" s="1005"/>
      <c r="B10" s="169" t="s">
        <v>38</v>
      </c>
      <c r="C10" s="170" t="e">
        <f>SUM(C4:C9)</f>
        <v>#N/A</v>
      </c>
      <c r="D10" s="170" t="e">
        <f t="shared" ref="D10:E10" si="1">SUM(D4:D9)</f>
        <v>#N/A</v>
      </c>
      <c r="E10" s="170" t="e">
        <f t="shared" si="1"/>
        <v>#N/A</v>
      </c>
      <c r="F10" s="170" t="e">
        <f>SUM(F4:F9)</f>
        <v>#N/A</v>
      </c>
      <c r="G10" s="1015"/>
      <c r="H10" s="646"/>
      <c r="I10" s="212" t="s">
        <v>124</v>
      </c>
      <c r="J10" s="213" t="e">
        <f>C223-C141-C125-C109-C232-C251-C75-C263-C245-C257</f>
        <v>#N/A</v>
      </c>
      <c r="K10" s="213" t="e">
        <f t="shared" ref="K10:M10" si="2">D223-D141-D125-D109-D232-D251-D75-D263-D245-D257</f>
        <v>#N/A</v>
      </c>
      <c r="L10" s="213" t="e">
        <f t="shared" si="2"/>
        <v>#N/A</v>
      </c>
      <c r="M10" s="214" t="e">
        <f t="shared" si="2"/>
        <v>#N/A</v>
      </c>
      <c r="N10" s="149"/>
      <c r="AD10" s="148"/>
    </row>
    <row r="11" spans="1:30" ht="16.5" thickBot="1" x14ac:dyDescent="0.3">
      <c r="A11" s="1003" t="s">
        <v>125</v>
      </c>
      <c r="B11" s="171" t="s">
        <v>315</v>
      </c>
      <c r="C11" s="172" t="s">
        <v>39</v>
      </c>
      <c r="D11" s="172" t="s">
        <v>39</v>
      </c>
      <c r="E11" s="172" t="s">
        <v>39</v>
      </c>
      <c r="F11" s="172" t="s">
        <v>39</v>
      </c>
      <c r="G11" s="672"/>
      <c r="H11" s="646"/>
      <c r="I11" s="660" t="s">
        <v>126</v>
      </c>
      <c r="J11" s="661"/>
      <c r="K11" s="661"/>
      <c r="L11" s="661"/>
      <c r="M11" s="662"/>
      <c r="AD11" s="148"/>
    </row>
    <row r="12" spans="1:30" x14ac:dyDescent="0.25">
      <c r="A12" s="1004"/>
      <c r="B12" s="166" t="s">
        <v>29</v>
      </c>
      <c r="C12" s="173">
        <v>0</v>
      </c>
      <c r="D12" s="173">
        <v>0</v>
      </c>
      <c r="E12" s="173">
        <v>0</v>
      </c>
      <c r="F12" s="173">
        <v>0</v>
      </c>
      <c r="G12" s="1006">
        <f>INDEX(Uncertainty_Factors_Table[Value],MATCH('Baseline data entry'!I74,Uncertainty_factors,0))</f>
        <v>0.66</v>
      </c>
      <c r="H12" s="646"/>
      <c r="I12" s="203" t="s">
        <v>123</v>
      </c>
      <c r="J12" s="204" t="s">
        <v>9</v>
      </c>
      <c r="K12" s="204" t="s">
        <v>99</v>
      </c>
      <c r="L12" s="204" t="s">
        <v>100</v>
      </c>
      <c r="M12" s="205" t="s">
        <v>101</v>
      </c>
      <c r="AD12" s="148"/>
    </row>
    <row r="13" spans="1:30" x14ac:dyDescent="0.25">
      <c r="A13" s="1004"/>
      <c r="B13" s="166" t="s">
        <v>32</v>
      </c>
      <c r="C13" s="174" t="e">
        <f>(INDEX(Reductions_Table[Value],MATCH("5.1_"&amp;'Baseline data entry'!E74,Reductions_Table[ID3],0))*INDEX(Reductions_Table[Value],MATCH("5.2_"&amp;'Baseline data entry'!E75,Reductions_Table[ID3],0))*INDEX(Reductions_Table[Value],MATCH("5.3_"&amp;'Baseline data entry'!E76,Reductions_Table[ID3],0)))/100</f>
        <v>#N/A</v>
      </c>
      <c r="D13" s="174" t="e">
        <f>(INDEX(Reductions_Table[Value],MATCH("5.1_"&amp;'Scenario data entry'!F79,Reductions_Table[ID3],0))*INDEX(Reductions_Table[Value],MATCH("5.2_"&amp;'Scenario data entry'!F80,Reductions_Table[ID3],0))*INDEX(Reductions_Table[Value],MATCH("5.3_"&amp;'Scenario data entry'!F81,Reductions_Table[ID3],0)))/100</f>
        <v>#N/A</v>
      </c>
      <c r="E13" s="174" t="e">
        <f>(INDEX(Reductions_Table[Value],MATCH("5.1_"&amp;'Scenario data entry'!G79,Reductions_Table[ID3],0))*INDEX(Reductions_Table[Value],MATCH("5.2_"&amp;'Scenario data entry'!G80,Reductions_Table[ID3],0))*INDEX(Reductions_Table[Value],MATCH("5.3_"&amp;'Scenario data entry'!G81,Reductions_Table[ID3],0)))/100</f>
        <v>#N/A</v>
      </c>
      <c r="F13" s="174" t="e">
        <f>(INDEX(Reductions_Table[Value],MATCH("5.1_"&amp;'Scenario data entry'!H79,Reductions_Table[ID3],0))*INDEX(Reductions_Table[Value],MATCH("5.2_"&amp;'Scenario data entry'!H80,Reductions_Table[ID3],0))*INDEX(Reductions_Table[Value],MATCH("5.3_"&amp;'Scenario data entry'!H81,Reductions_Table[ID3],0)))/100</f>
        <v>#N/A</v>
      </c>
      <c r="G13" s="1006"/>
      <c r="H13" s="646"/>
      <c r="I13" s="206" t="s">
        <v>29</v>
      </c>
      <c r="J13" s="215">
        <f>IF(OR(C53&lt;0,C61&lt;0,C69&lt;0,C77&lt;0,C86&lt;0,C94&lt;0,C103&lt;0,C111&lt;0,C119&lt;0,C127&lt;0,C135&lt;0,C143&lt;0,C151&lt;0,C159&lt;0,C167&lt;0,C175&lt;0,C184&lt;0,C192&lt;0,C200&lt;0,C208&lt;0,C217&lt;0,C226&lt;0),1,0)</f>
        <v>0</v>
      </c>
      <c r="K13" s="215">
        <f t="shared" ref="K13:M13" si="3">IF(OR(D53&lt;0,D61&lt;0,D69&lt;0,D77&lt;0,D86&lt;0,D94&lt;0,D103&lt;0,D111&lt;0,D119&lt;0,D127&lt;0,D135&lt;0,D143&lt;0,D151&lt;0,D159&lt;0,D167&lt;0,D175&lt;0,D184&lt;0,D192&lt;0,D200&lt;0,D208&lt;0,D217&lt;0,D226&lt;0),1,0)</f>
        <v>0</v>
      </c>
      <c r="L13" s="215">
        <f t="shared" si="3"/>
        <v>0</v>
      </c>
      <c r="M13" s="216">
        <f t="shared" si="3"/>
        <v>0</v>
      </c>
      <c r="AD13" s="148"/>
    </row>
    <row r="14" spans="1:30" x14ac:dyDescent="0.25">
      <c r="A14" s="1004"/>
      <c r="B14" s="166" t="s">
        <v>33</v>
      </c>
      <c r="C14" s="173">
        <v>0</v>
      </c>
      <c r="D14" s="173">
        <v>0</v>
      </c>
      <c r="E14" s="173">
        <v>0</v>
      </c>
      <c r="F14" s="173">
        <v>0</v>
      </c>
      <c r="G14" s="1006"/>
      <c r="H14" s="646"/>
      <c r="I14" s="206" t="s">
        <v>32</v>
      </c>
      <c r="J14" s="215" t="e">
        <f t="shared" ref="J14:J18" si="4">IF(OR(C54&lt;0,C62&lt;0,C70&lt;0,C78&lt;0,C87&lt;0,C95&lt;0,C104&lt;0,C112&lt;0,C120&lt;0,C128&lt;0,C136&lt;0,C144&lt;0,C152&lt;0,C160&lt;0,C168&lt;0,C176&lt;0,C185&lt;0,C193&lt;0,C201&lt;0,C209&lt;0,C218&lt;0,C227&lt;0),1,0)</f>
        <v>#N/A</v>
      </c>
      <c r="K14" s="215" t="e">
        <f t="shared" ref="K14:K18" si="5">IF(OR(D54&lt;0,D62&lt;0,D70&lt;0,D78&lt;0,D87&lt;0,D95&lt;0,D104&lt;0,D112&lt;0,D120&lt;0,D128&lt;0,D136&lt;0,D144&lt;0,D152&lt;0,D160&lt;0,D168&lt;0,D176&lt;0,D185&lt;0,D193&lt;0,D201&lt;0,D209&lt;0,D218&lt;0,D227&lt;0),1,0)</f>
        <v>#N/A</v>
      </c>
      <c r="L14" s="215" t="e">
        <f t="shared" ref="L14:L18" si="6">IF(OR(E54&lt;0,E62&lt;0,E70&lt;0,E78&lt;0,E87&lt;0,E95&lt;0,E104&lt;0,E112&lt;0,E120&lt;0,E128&lt;0,E136&lt;0,E144&lt;0,E152&lt;0,E160&lt;0,E168&lt;0,E176&lt;0,E185&lt;0,E193&lt;0,E201&lt;0,E209&lt;0,E218&lt;0,E227&lt;0),1,0)</f>
        <v>#N/A</v>
      </c>
      <c r="M14" s="216" t="e">
        <f t="shared" ref="M14:M18" si="7">IF(OR(F54&lt;0,F62&lt;0,F70&lt;0,F78&lt;0,F87&lt;0,F95&lt;0,F104&lt;0,F112&lt;0,F120&lt;0,F128&lt;0,F136&lt;0,F144&lt;0,F152&lt;0,F160&lt;0,F168&lt;0,F176&lt;0,F185&lt;0,F193&lt;0,F201&lt;0,F209&lt;0,F218&lt;0,F227&lt;0),1,0)</f>
        <v>#N/A</v>
      </c>
      <c r="AD14" s="148"/>
    </row>
    <row r="15" spans="1:30" x14ac:dyDescent="0.25">
      <c r="A15" s="1004"/>
      <c r="B15" s="166" t="s">
        <v>34</v>
      </c>
      <c r="C15" s="173">
        <v>0</v>
      </c>
      <c r="D15" s="173">
        <v>0</v>
      </c>
      <c r="E15" s="173">
        <v>0</v>
      </c>
      <c r="F15" s="173">
        <v>0</v>
      </c>
      <c r="G15" s="1006"/>
      <c r="H15" s="646"/>
      <c r="I15" s="206" t="s">
        <v>33</v>
      </c>
      <c r="J15" s="215">
        <f t="shared" si="4"/>
        <v>0</v>
      </c>
      <c r="K15" s="215">
        <f t="shared" si="5"/>
        <v>0</v>
      </c>
      <c r="L15" s="215">
        <f t="shared" si="6"/>
        <v>0</v>
      </c>
      <c r="M15" s="216">
        <f t="shared" si="7"/>
        <v>0</v>
      </c>
      <c r="AD15" s="148"/>
    </row>
    <row r="16" spans="1:30" x14ac:dyDescent="0.25">
      <c r="A16" s="1004"/>
      <c r="B16" s="405" t="s">
        <v>35</v>
      </c>
      <c r="C16" s="173">
        <v>0</v>
      </c>
      <c r="D16" s="173">
        <v>0</v>
      </c>
      <c r="E16" s="173">
        <v>0</v>
      </c>
      <c r="F16" s="173">
        <v>0</v>
      </c>
      <c r="G16" s="1006"/>
      <c r="H16" s="646"/>
      <c r="I16" s="211" t="s">
        <v>34</v>
      </c>
      <c r="J16" s="215">
        <f t="shared" si="4"/>
        <v>0</v>
      </c>
      <c r="K16" s="215">
        <f t="shared" si="5"/>
        <v>0</v>
      </c>
      <c r="L16" s="215">
        <f t="shared" si="6"/>
        <v>0</v>
      </c>
      <c r="M16" s="216">
        <f t="shared" si="7"/>
        <v>0</v>
      </c>
      <c r="AD16" s="148"/>
    </row>
    <row r="17" spans="1:30" x14ac:dyDescent="0.25">
      <c r="A17" s="1004"/>
      <c r="B17" s="166" t="s">
        <v>36</v>
      </c>
      <c r="C17" s="173">
        <v>0</v>
      </c>
      <c r="D17" s="173">
        <v>0</v>
      </c>
      <c r="E17" s="173">
        <v>0</v>
      </c>
      <c r="F17" s="173">
        <v>0</v>
      </c>
      <c r="G17" s="1006"/>
      <c r="H17" s="646"/>
      <c r="I17" s="206" t="s">
        <v>35</v>
      </c>
      <c r="J17" s="215">
        <f t="shared" si="4"/>
        <v>0</v>
      </c>
      <c r="K17" s="215">
        <f t="shared" si="5"/>
        <v>0</v>
      </c>
      <c r="L17" s="215">
        <f t="shared" si="6"/>
        <v>0</v>
      </c>
      <c r="M17" s="216">
        <f t="shared" si="7"/>
        <v>0</v>
      </c>
      <c r="AD17" s="148"/>
    </row>
    <row r="18" spans="1:30" x14ac:dyDescent="0.25">
      <c r="A18" s="1005"/>
      <c r="B18" s="169" t="s">
        <v>38</v>
      </c>
      <c r="C18" s="175" t="e">
        <f>SUM(C12:C17)</f>
        <v>#N/A</v>
      </c>
      <c r="D18" s="175" t="e">
        <f t="shared" ref="D18:E18" si="8">SUM(D12:D17)</f>
        <v>#N/A</v>
      </c>
      <c r="E18" s="175" t="e">
        <f t="shared" si="8"/>
        <v>#N/A</v>
      </c>
      <c r="F18" s="175" t="e">
        <f t="shared" ref="F18" si="9">SUM(F12:F17)</f>
        <v>#N/A</v>
      </c>
      <c r="G18" s="1007"/>
      <c r="H18" s="646"/>
      <c r="I18" s="211" t="s">
        <v>36</v>
      </c>
      <c r="J18" s="215">
        <f t="shared" si="4"/>
        <v>0</v>
      </c>
      <c r="K18" s="215">
        <f t="shared" si="5"/>
        <v>0</v>
      </c>
      <c r="L18" s="215">
        <f t="shared" si="6"/>
        <v>0</v>
      </c>
      <c r="M18" s="216">
        <f t="shared" si="7"/>
        <v>0</v>
      </c>
      <c r="AD18" s="148"/>
    </row>
    <row r="19" spans="1:30" x14ac:dyDescent="0.25">
      <c r="A19" s="1003" t="s">
        <v>127</v>
      </c>
      <c r="B19" s="176" t="s">
        <v>295</v>
      </c>
      <c r="C19" s="172" t="s">
        <v>39</v>
      </c>
      <c r="D19" s="172" t="s">
        <v>39</v>
      </c>
      <c r="E19" s="172" t="s">
        <v>39</v>
      </c>
      <c r="F19" s="172" t="s">
        <v>39</v>
      </c>
      <c r="G19" s="672"/>
      <c r="H19" s="646"/>
      <c r="I19" s="206" t="s">
        <v>124</v>
      </c>
      <c r="J19" s="215" t="e">
        <f t="shared" ref="J19" si="10">IF(OR(C59&lt;0,C67&lt;0,C75&lt;0,C83&lt;0,C92&lt;0,C100&lt;0,C109&lt;0,C117&lt;0,C125&lt;0,C133&lt;0,C141&lt;0,C149&lt;0,C157&lt;0,C165&lt;0,C173&lt;0,C181&lt;0,C190&lt;0,C198&lt;0,C206&lt;0,C214&lt;0,C223&lt;0,C232&lt;0),1,0)</f>
        <v>#N/A</v>
      </c>
      <c r="K19" s="215" t="e">
        <f t="shared" ref="K19" si="11">IF(OR(D59&lt;0,D67&lt;0,D75&lt;0,D83&lt;0,D92&lt;0,D100&lt;0,D109&lt;0,D117&lt;0,D125&lt;0,D133&lt;0,D141&lt;0,D149&lt;0,D157&lt;0,D165&lt;0,D173&lt;0,D181&lt;0,D190&lt;0,D198&lt;0,D206&lt;0,D214&lt;0,D223&lt;0,D232&lt;0),1,0)</f>
        <v>#N/A</v>
      </c>
      <c r="L19" s="215" t="e">
        <f t="shared" ref="L19" si="12">IF(OR(E59&lt;0,E67&lt;0,E75&lt;0,E83&lt;0,E92&lt;0,E100&lt;0,E109&lt;0,E117&lt;0,E125&lt;0,E133&lt;0,E141&lt;0,E149&lt;0,E157&lt;0,E165&lt;0,E173&lt;0,E181&lt;0,E190&lt;0,E198&lt;0,E206&lt;0,E214&lt;0,E223&lt;0,E232&lt;0),1,0)</f>
        <v>#N/A</v>
      </c>
      <c r="M19" s="216" t="e">
        <f t="shared" ref="M19" si="13">IF(OR(F59&lt;0,F67&lt;0,F75&lt;0,F83&lt;0,F92&lt;0,F100&lt;0,F109&lt;0,F117&lt;0,F125&lt;0,F133&lt;0,F141&lt;0,F149&lt;0,F157&lt;0,F165&lt;0,F173&lt;0,F181&lt;0,F190&lt;0,F198&lt;0,F206&lt;0,F214&lt;0,F223&lt;0,F232&lt;0),1,0)</f>
        <v>#N/A</v>
      </c>
      <c r="AD19" s="148"/>
    </row>
    <row r="20" spans="1:30" x14ac:dyDescent="0.25">
      <c r="A20" s="1004"/>
      <c r="B20" s="177" t="s">
        <v>29</v>
      </c>
      <c r="C20" s="173">
        <v>0</v>
      </c>
      <c r="D20" s="173">
        <v>0</v>
      </c>
      <c r="E20" s="173">
        <v>0</v>
      </c>
      <c r="F20" s="173">
        <v>0</v>
      </c>
      <c r="G20" s="1006">
        <f>INDEX(Uncertainty_Factors_Table[Value],MATCH('Baseline data entry'!I72,Uncertainty_factors,0))</f>
        <v>0.33</v>
      </c>
      <c r="H20" s="646"/>
      <c r="I20" s="1008" t="s">
        <v>128</v>
      </c>
      <c r="J20" s="1009"/>
      <c r="K20" s="1009"/>
      <c r="L20" s="1009"/>
      <c r="M20" s="1010"/>
      <c r="AD20" s="148"/>
    </row>
    <row r="21" spans="1:30" x14ac:dyDescent="0.25">
      <c r="A21" s="1004"/>
      <c r="B21" s="178" t="s">
        <v>32</v>
      </c>
      <c r="C21" s="174" t="e">
        <f>(('Baseline data entry'!E72*INDEX(Reductions_Table[Value],MATCH("4.1_"&amp;'Baseline data entry'!E73,Reductions_Table[ID3],0))))/100</f>
        <v>#N/A</v>
      </c>
      <c r="D21" s="174" t="e">
        <f>(('Scenario data entry'!F77*INDEX(Reductions_Table[Value],MATCH("4.1_"&amp;'Scenario data entry'!F78,Reductions_Table[ID3],0))))/100</f>
        <v>#N/A</v>
      </c>
      <c r="E21" s="174" t="e">
        <f>(('Scenario data entry'!G77*INDEX(Reductions_Table[Value],MATCH("4.1_"&amp;'Scenario data entry'!G78,Reductions_Table[ID3],0))))/100</f>
        <v>#N/A</v>
      </c>
      <c r="F21" s="174" t="e">
        <f>(('Scenario data entry'!H77*INDEX(Reductions_Table[Value],MATCH("4.1_"&amp;'Scenario data entry'!H78,Reductions_Table[ID3],0))))/100</f>
        <v>#N/A</v>
      </c>
      <c r="G21" s="1006"/>
      <c r="H21" s="646"/>
      <c r="I21" s="203" t="s">
        <v>123</v>
      </c>
      <c r="J21" s="204" t="s">
        <v>9</v>
      </c>
      <c r="K21" s="204" t="s">
        <v>99</v>
      </c>
      <c r="L21" s="204" t="s">
        <v>100</v>
      </c>
      <c r="M21" s="205" t="s">
        <v>101</v>
      </c>
      <c r="AD21" s="148"/>
    </row>
    <row r="22" spans="1:30" x14ac:dyDescent="0.25">
      <c r="A22" s="1004"/>
      <c r="B22" s="177" t="s">
        <v>33</v>
      </c>
      <c r="C22" s="173">
        <v>0</v>
      </c>
      <c r="D22" s="173">
        <v>0</v>
      </c>
      <c r="E22" s="173">
        <v>0</v>
      </c>
      <c r="F22" s="173">
        <v>0</v>
      </c>
      <c r="G22" s="1006"/>
      <c r="H22" s="646"/>
      <c r="I22" s="206" t="s">
        <v>29</v>
      </c>
      <c r="J22" s="209">
        <f t="shared" ref="J22:M28" si="14">C217-C184-C192-C226</f>
        <v>0</v>
      </c>
      <c r="K22" s="209">
        <f t="shared" si="14"/>
        <v>0</v>
      </c>
      <c r="L22" s="209">
        <f t="shared" si="14"/>
        <v>0</v>
      </c>
      <c r="M22" s="210">
        <f t="shared" si="14"/>
        <v>0</v>
      </c>
      <c r="AD22" s="148"/>
    </row>
    <row r="23" spans="1:30" x14ac:dyDescent="0.25">
      <c r="A23" s="1004"/>
      <c r="B23" s="177" t="s">
        <v>34</v>
      </c>
      <c r="C23" s="173">
        <v>0</v>
      </c>
      <c r="D23" s="173">
        <v>0</v>
      </c>
      <c r="E23" s="173">
        <v>0</v>
      </c>
      <c r="F23" s="173">
        <v>0</v>
      </c>
      <c r="G23" s="1006"/>
      <c r="H23" s="646"/>
      <c r="I23" s="206" t="s">
        <v>32</v>
      </c>
      <c r="J23" s="209" t="e">
        <f t="shared" si="14"/>
        <v>#N/A</v>
      </c>
      <c r="K23" s="209">
        <f t="shared" si="14"/>
        <v>0</v>
      </c>
      <c r="L23" s="209">
        <f t="shared" si="14"/>
        <v>0</v>
      </c>
      <c r="M23" s="210">
        <f t="shared" si="14"/>
        <v>0</v>
      </c>
      <c r="AD23" s="148"/>
    </row>
    <row r="24" spans="1:30" x14ac:dyDescent="0.25">
      <c r="A24" s="1004"/>
      <c r="B24" s="179" t="s">
        <v>35</v>
      </c>
      <c r="C24" s="173">
        <v>0</v>
      </c>
      <c r="D24" s="173">
        <v>0</v>
      </c>
      <c r="E24" s="173">
        <v>0</v>
      </c>
      <c r="F24" s="173">
        <v>0</v>
      </c>
      <c r="G24" s="1006"/>
      <c r="H24" s="646"/>
      <c r="I24" s="206" t="s">
        <v>33</v>
      </c>
      <c r="J24" s="209">
        <f t="shared" si="14"/>
        <v>0</v>
      </c>
      <c r="K24" s="209">
        <f t="shared" si="14"/>
        <v>0</v>
      </c>
      <c r="L24" s="209">
        <f t="shared" si="14"/>
        <v>0</v>
      </c>
      <c r="M24" s="210">
        <f t="shared" si="14"/>
        <v>0</v>
      </c>
      <c r="AD24" s="148"/>
    </row>
    <row r="25" spans="1:30" x14ac:dyDescent="0.25">
      <c r="A25" s="1004"/>
      <c r="B25" s="177" t="s">
        <v>36</v>
      </c>
      <c r="C25" s="173">
        <v>0</v>
      </c>
      <c r="D25" s="173">
        <v>0</v>
      </c>
      <c r="E25" s="173">
        <v>0</v>
      </c>
      <c r="F25" s="173">
        <v>0</v>
      </c>
      <c r="G25" s="1006"/>
      <c r="H25" s="646"/>
      <c r="I25" s="211" t="s">
        <v>34</v>
      </c>
      <c r="J25" s="209">
        <f t="shared" si="14"/>
        <v>0</v>
      </c>
      <c r="K25" s="209">
        <f t="shared" si="14"/>
        <v>0</v>
      </c>
      <c r="L25" s="209">
        <f t="shared" si="14"/>
        <v>0</v>
      </c>
      <c r="M25" s="210">
        <f t="shared" si="14"/>
        <v>0</v>
      </c>
      <c r="AD25" s="148"/>
    </row>
    <row r="26" spans="1:30" x14ac:dyDescent="0.25">
      <c r="A26" s="1005"/>
      <c r="B26" s="169" t="s">
        <v>38</v>
      </c>
      <c r="C26" s="170" t="e">
        <f>SUM(C20:C25)</f>
        <v>#N/A</v>
      </c>
      <c r="D26" s="170" t="e">
        <f t="shared" ref="D26:E26" si="15">SUM(D20:D25)</f>
        <v>#N/A</v>
      </c>
      <c r="E26" s="170" t="e">
        <f t="shared" si="15"/>
        <v>#N/A</v>
      </c>
      <c r="F26" s="170" t="e">
        <f t="shared" ref="F26" si="16">SUM(F20:F25)</f>
        <v>#N/A</v>
      </c>
      <c r="G26" s="1007"/>
      <c r="H26" s="646"/>
      <c r="I26" s="206" t="s">
        <v>35</v>
      </c>
      <c r="J26" s="209">
        <f t="shared" si="14"/>
        <v>0</v>
      </c>
      <c r="K26" s="209">
        <f t="shared" si="14"/>
        <v>0</v>
      </c>
      <c r="L26" s="209">
        <f t="shared" si="14"/>
        <v>0</v>
      </c>
      <c r="M26" s="210">
        <f t="shared" si="14"/>
        <v>0</v>
      </c>
      <c r="AD26" s="148"/>
    </row>
    <row r="27" spans="1:30" x14ac:dyDescent="0.25">
      <c r="A27" s="1003" t="s">
        <v>130</v>
      </c>
      <c r="B27" s="171" t="s">
        <v>132</v>
      </c>
      <c r="C27" s="172" t="s">
        <v>39</v>
      </c>
      <c r="D27" s="172" t="s">
        <v>39</v>
      </c>
      <c r="E27" s="172" t="s">
        <v>39</v>
      </c>
      <c r="F27" s="172" t="s">
        <v>39</v>
      </c>
      <c r="G27" s="672"/>
      <c r="H27" s="646"/>
      <c r="I27" s="211" t="s">
        <v>36</v>
      </c>
      <c r="J27" s="209">
        <f t="shared" si="14"/>
        <v>0</v>
      </c>
      <c r="K27" s="209">
        <f t="shared" si="14"/>
        <v>0</v>
      </c>
      <c r="L27" s="209">
        <f t="shared" si="14"/>
        <v>0</v>
      </c>
      <c r="M27" s="210">
        <f t="shared" si="14"/>
        <v>0</v>
      </c>
      <c r="AD27" s="148"/>
    </row>
    <row r="28" spans="1:30" x14ac:dyDescent="0.25">
      <c r="A28" s="1004"/>
      <c r="B28" s="166" t="s">
        <v>29</v>
      </c>
      <c r="C28" s="173">
        <v>0</v>
      </c>
      <c r="D28" s="173">
        <v>0</v>
      </c>
      <c r="E28" s="173">
        <v>0</v>
      </c>
      <c r="F28" s="173">
        <v>0</v>
      </c>
      <c r="G28" s="1006">
        <f>INDEX(Uncertainty_Factors_Table[Value],MATCH('Baseline data entry'!I70,Uncertainty_factors,0))</f>
        <v>0.33</v>
      </c>
      <c r="H28" s="646"/>
      <c r="I28" s="206" t="s">
        <v>124</v>
      </c>
      <c r="J28" s="209" t="e">
        <f t="shared" si="14"/>
        <v>#N/A</v>
      </c>
      <c r="K28" s="209">
        <f t="shared" si="14"/>
        <v>0</v>
      </c>
      <c r="L28" s="209">
        <f t="shared" si="14"/>
        <v>0</v>
      </c>
      <c r="M28" s="214">
        <f t="shared" si="14"/>
        <v>0</v>
      </c>
      <c r="N28" s="150"/>
      <c r="AD28" s="148"/>
    </row>
    <row r="29" spans="1:30" x14ac:dyDescent="0.25">
      <c r="A29" s="1004"/>
      <c r="B29" s="166" t="s">
        <v>32</v>
      </c>
      <c r="C29" s="174" t="e">
        <f>(('Baseline data entry'!E70*INDEX(Reductions_Table[Value],MATCH("3.1_"&amp;'Baseline data entry'!E71,Reductions_Table[ID3],0))))/100</f>
        <v>#N/A</v>
      </c>
      <c r="D29" s="174" t="e">
        <f>(('Scenario data entry'!F75*INDEX(Reductions_Table[Value],MATCH("3.1_"&amp;'Scenario data entry'!F76,Reductions_Table[ID3],0))))/100</f>
        <v>#N/A</v>
      </c>
      <c r="E29" s="174" t="e">
        <f>(('Scenario data entry'!G75*INDEX(Reductions_Table[Value],MATCH("3.1_"&amp;'Scenario data entry'!G76,Reductions_Table[ID3],0))))/100</f>
        <v>#N/A</v>
      </c>
      <c r="F29" s="174" t="e">
        <f>(('Scenario data entry'!G75*INDEX(Reductions_Table[Value],MATCH("3.1_"&amp;'Scenario data entry'!H76,Reductions_Table[ID3],0))))/100</f>
        <v>#N/A</v>
      </c>
      <c r="G29" s="1006"/>
      <c r="H29" s="646"/>
      <c r="I29" s="1008" t="s">
        <v>129</v>
      </c>
      <c r="J29" s="1009"/>
      <c r="K29" s="1009"/>
      <c r="L29" s="1009"/>
      <c r="M29" s="1010"/>
      <c r="AD29" s="148"/>
    </row>
    <row r="30" spans="1:30" x14ac:dyDescent="0.25">
      <c r="A30" s="1004"/>
      <c r="B30" s="166" t="s">
        <v>33</v>
      </c>
      <c r="C30" s="173">
        <v>0</v>
      </c>
      <c r="D30" s="173">
        <v>0</v>
      </c>
      <c r="E30" s="173">
        <v>0</v>
      </c>
      <c r="F30" s="173">
        <v>0</v>
      </c>
      <c r="G30" s="1006"/>
      <c r="H30" s="646"/>
      <c r="I30" s="203" t="s">
        <v>123</v>
      </c>
      <c r="J30" s="204" t="s">
        <v>9</v>
      </c>
      <c r="K30" s="204" t="s">
        <v>99</v>
      </c>
      <c r="L30" s="204" t="s">
        <v>100</v>
      </c>
      <c r="M30" s="205" t="s">
        <v>101</v>
      </c>
      <c r="AD30" s="148"/>
    </row>
    <row r="31" spans="1:30" x14ac:dyDescent="0.25">
      <c r="A31" s="1004"/>
      <c r="B31" s="166" t="s">
        <v>34</v>
      </c>
      <c r="C31" s="173">
        <v>0</v>
      </c>
      <c r="D31" s="173">
        <v>0</v>
      </c>
      <c r="E31" s="173">
        <v>0</v>
      </c>
      <c r="F31" s="173">
        <v>0</v>
      </c>
      <c r="G31" s="1006"/>
      <c r="H31" s="646"/>
      <c r="I31" s="206" t="s">
        <v>29</v>
      </c>
      <c r="J31" s="209">
        <f t="shared" ref="J31:M37" si="17">C184+C192-C167-C151-C86-C200-C208</f>
        <v>0</v>
      </c>
      <c r="K31" s="209">
        <f t="shared" si="17"/>
        <v>0</v>
      </c>
      <c r="L31" s="209">
        <f t="shared" si="17"/>
        <v>0</v>
      </c>
      <c r="M31" s="210">
        <f t="shared" si="17"/>
        <v>0</v>
      </c>
      <c r="AD31" s="148"/>
    </row>
    <row r="32" spans="1:30" x14ac:dyDescent="0.25">
      <c r="A32" s="1004"/>
      <c r="B32" s="405" t="s">
        <v>35</v>
      </c>
      <c r="C32" s="173">
        <v>0</v>
      </c>
      <c r="D32" s="173">
        <v>0</v>
      </c>
      <c r="E32" s="173">
        <v>0</v>
      </c>
      <c r="F32" s="173">
        <v>0</v>
      </c>
      <c r="G32" s="1006"/>
      <c r="H32" s="646"/>
      <c r="I32" s="206" t="s">
        <v>32</v>
      </c>
      <c r="J32" s="209" t="e">
        <f t="shared" si="17"/>
        <v>#N/A</v>
      </c>
      <c r="K32" s="209" t="e">
        <f t="shared" si="17"/>
        <v>#N/A</v>
      </c>
      <c r="L32" s="209" t="e">
        <f t="shared" si="17"/>
        <v>#N/A</v>
      </c>
      <c r="M32" s="210" t="e">
        <f t="shared" si="17"/>
        <v>#N/A</v>
      </c>
      <c r="AD32" s="148"/>
    </row>
    <row r="33" spans="1:35" x14ac:dyDescent="0.25">
      <c r="A33" s="1004"/>
      <c r="B33" s="166" t="s">
        <v>36</v>
      </c>
      <c r="C33" s="173">
        <v>0</v>
      </c>
      <c r="D33" s="173">
        <v>0</v>
      </c>
      <c r="E33" s="173">
        <v>0</v>
      </c>
      <c r="F33" s="173">
        <v>0</v>
      </c>
      <c r="G33" s="1006"/>
      <c r="H33" s="646"/>
      <c r="I33" s="206" t="s">
        <v>33</v>
      </c>
      <c r="J33" s="209">
        <f t="shared" si="17"/>
        <v>0</v>
      </c>
      <c r="K33" s="209">
        <f t="shared" si="17"/>
        <v>0</v>
      </c>
      <c r="L33" s="209">
        <f t="shared" si="17"/>
        <v>0</v>
      </c>
      <c r="M33" s="210">
        <f t="shared" si="17"/>
        <v>0</v>
      </c>
      <c r="AD33" s="148"/>
    </row>
    <row r="34" spans="1:35" x14ac:dyDescent="0.25">
      <c r="A34" s="1005"/>
      <c r="B34" s="169" t="s">
        <v>38</v>
      </c>
      <c r="C34" s="175" t="e">
        <f>SUM(C28:C33)</f>
        <v>#N/A</v>
      </c>
      <c r="D34" s="175" t="e">
        <f t="shared" ref="D34:F34" si="18">SUM(D28:D33)</f>
        <v>#N/A</v>
      </c>
      <c r="E34" s="175" t="e">
        <f t="shared" si="18"/>
        <v>#N/A</v>
      </c>
      <c r="F34" s="175" t="e">
        <f t="shared" si="18"/>
        <v>#N/A</v>
      </c>
      <c r="G34" s="1007"/>
      <c r="H34" s="646"/>
      <c r="I34" s="211" t="s">
        <v>34</v>
      </c>
      <c r="J34" s="209">
        <f t="shared" si="17"/>
        <v>0</v>
      </c>
      <c r="K34" s="209">
        <f t="shared" si="17"/>
        <v>0</v>
      </c>
      <c r="L34" s="209">
        <f t="shared" si="17"/>
        <v>0</v>
      </c>
      <c r="M34" s="210">
        <f t="shared" si="17"/>
        <v>0</v>
      </c>
      <c r="AD34" s="148"/>
    </row>
    <row r="35" spans="1:35" x14ac:dyDescent="0.25">
      <c r="A35" s="1003" t="s">
        <v>134</v>
      </c>
      <c r="B35" s="171" t="s">
        <v>135</v>
      </c>
      <c r="C35" s="172" t="s">
        <v>39</v>
      </c>
      <c r="D35" s="172" t="s">
        <v>39</v>
      </c>
      <c r="E35" s="172" t="s">
        <v>39</v>
      </c>
      <c r="F35" s="172" t="s">
        <v>39</v>
      </c>
      <c r="G35" s="672"/>
      <c r="H35" s="646"/>
      <c r="I35" s="206" t="s">
        <v>35</v>
      </c>
      <c r="J35" s="209">
        <f t="shared" si="17"/>
        <v>0</v>
      </c>
      <c r="K35" s="209">
        <f t="shared" si="17"/>
        <v>0</v>
      </c>
      <c r="L35" s="209">
        <f t="shared" si="17"/>
        <v>0</v>
      </c>
      <c r="M35" s="210">
        <f t="shared" si="17"/>
        <v>0</v>
      </c>
      <c r="AD35" s="148"/>
    </row>
    <row r="36" spans="1:35" x14ac:dyDescent="0.25">
      <c r="A36" s="1004"/>
      <c r="B36" s="166" t="s">
        <v>29</v>
      </c>
      <c r="C36" s="173">
        <v>0</v>
      </c>
      <c r="D36" s="173">
        <v>0</v>
      </c>
      <c r="E36" s="173">
        <v>0</v>
      </c>
      <c r="F36" s="173">
        <v>0</v>
      </c>
      <c r="G36" s="1006">
        <f>INDEX(Uncertainty_Factors_Table[Value],MATCH('Baseline data entry'!I68,Uncertainty_factors,0))</f>
        <v>0.33</v>
      </c>
      <c r="H36" s="646"/>
      <c r="I36" s="211" t="s">
        <v>36</v>
      </c>
      <c r="J36" s="209">
        <f t="shared" si="17"/>
        <v>0</v>
      </c>
      <c r="K36" s="209">
        <f t="shared" si="17"/>
        <v>0</v>
      </c>
      <c r="L36" s="209">
        <f t="shared" si="17"/>
        <v>0</v>
      </c>
      <c r="M36" s="210">
        <f t="shared" si="17"/>
        <v>0</v>
      </c>
      <c r="AD36" s="148"/>
    </row>
    <row r="37" spans="1:35" x14ac:dyDescent="0.25">
      <c r="A37" s="1004"/>
      <c r="B37" s="166" t="s">
        <v>32</v>
      </c>
      <c r="C37" s="174" t="e">
        <f>(INDEX(Reductions_Table[Value],MATCH("2.1_"&amp;'Baseline data entry'!E68,Reductions_Table[ID3],0))+INDEX(Reductions_Table[Value],MATCH("2.2_"&amp;'Baseline data entry'!E69,Reductions_Table[ID3],0)))/100</f>
        <v>#N/A</v>
      </c>
      <c r="D37" s="174" t="e">
        <f>(INDEX(Reductions_Table[Value],MATCH("2.1_"&amp;'Scenario data entry'!F73,Reductions_Table[ID3],0))+INDEX(Reductions_Table[Value],MATCH("2.2_"&amp;'Scenario data entry'!F74,Reductions_Table[ID3],0)))/100</f>
        <v>#N/A</v>
      </c>
      <c r="E37" s="174" t="e">
        <f>(INDEX(Reductions_Table[Value],MATCH("2.1_"&amp;'Scenario data entry'!G73,Reductions_Table[ID3],0))+INDEX(Reductions_Table[Value],MATCH("2.2_"&amp;'Scenario data entry'!G74,Reductions_Table[ID3],0)))/100</f>
        <v>#N/A</v>
      </c>
      <c r="F37" s="174" t="e">
        <f>(INDEX(Reductions_Table[Value],MATCH("2.1_"&amp;'Scenario data entry'!H73,Reductions_Table[ID3],0))+INDEX(Reductions_Table[Value],MATCH("2.2_"&amp;'Scenario data entry'!H74,Reductions_Table[ID3],0)))/100</f>
        <v>#N/A</v>
      </c>
      <c r="G37" s="1006"/>
      <c r="H37" s="646"/>
      <c r="I37" s="206" t="s">
        <v>124</v>
      </c>
      <c r="J37" s="209" t="e">
        <f t="shared" si="17"/>
        <v>#N/A</v>
      </c>
      <c r="K37" s="209" t="e">
        <f t="shared" si="17"/>
        <v>#N/A</v>
      </c>
      <c r="L37" s="209" t="e">
        <f t="shared" si="17"/>
        <v>#N/A</v>
      </c>
      <c r="M37" s="214" t="e">
        <f t="shared" si="17"/>
        <v>#N/A</v>
      </c>
      <c r="AD37" s="148"/>
    </row>
    <row r="38" spans="1:35" x14ac:dyDescent="0.25">
      <c r="A38" s="1004"/>
      <c r="B38" s="166" t="s">
        <v>33</v>
      </c>
      <c r="C38" s="173">
        <v>0</v>
      </c>
      <c r="D38" s="173">
        <v>0</v>
      </c>
      <c r="E38" s="173">
        <v>0</v>
      </c>
      <c r="F38" s="173">
        <v>0</v>
      </c>
      <c r="G38" s="1006"/>
      <c r="H38" s="646"/>
      <c r="I38" s="1008" t="s">
        <v>131</v>
      </c>
      <c r="J38" s="1009"/>
      <c r="K38" s="1009"/>
      <c r="L38" s="1009"/>
      <c r="M38" s="1010"/>
      <c r="AD38" s="148"/>
    </row>
    <row r="39" spans="1:35" x14ac:dyDescent="0.25">
      <c r="A39" s="1004"/>
      <c r="B39" s="166" t="s">
        <v>34</v>
      </c>
      <c r="C39" s="173">
        <v>0</v>
      </c>
      <c r="D39" s="173">
        <v>0</v>
      </c>
      <c r="E39" s="173">
        <v>0</v>
      </c>
      <c r="F39" s="173">
        <v>0</v>
      </c>
      <c r="G39" s="1006"/>
      <c r="H39" s="646"/>
      <c r="I39" s="203" t="s">
        <v>123</v>
      </c>
      <c r="J39" s="204" t="s">
        <v>9</v>
      </c>
      <c r="K39" s="204" t="s">
        <v>99</v>
      </c>
      <c r="L39" s="204" t="s">
        <v>100</v>
      </c>
      <c r="M39" s="378" t="s">
        <v>101</v>
      </c>
      <c r="AD39" s="148"/>
    </row>
    <row r="40" spans="1:35" x14ac:dyDescent="0.25">
      <c r="A40" s="1004"/>
      <c r="B40" s="405" t="s">
        <v>35</v>
      </c>
      <c r="C40" s="173">
        <v>0</v>
      </c>
      <c r="D40" s="173">
        <v>0</v>
      </c>
      <c r="E40" s="173">
        <v>0</v>
      </c>
      <c r="F40" s="173">
        <v>0</v>
      </c>
      <c r="G40" s="1006"/>
      <c r="H40" s="646"/>
      <c r="I40" s="206" t="s">
        <v>29</v>
      </c>
      <c r="J40" s="209">
        <f>C167+C151-C135-C119-C103-C175-C159</f>
        <v>0</v>
      </c>
      <c r="K40" s="209">
        <f t="shared" ref="K40:M40" si="19">D167+D151-D135-D119-D103-D175-D159</f>
        <v>0</v>
      </c>
      <c r="L40" s="209">
        <f t="shared" si="19"/>
        <v>0</v>
      </c>
      <c r="M40" s="210">
        <f t="shared" si="19"/>
        <v>0</v>
      </c>
      <c r="AD40" s="148"/>
    </row>
    <row r="41" spans="1:35" x14ac:dyDescent="0.25">
      <c r="A41" s="1004"/>
      <c r="B41" s="166" t="s">
        <v>36</v>
      </c>
      <c r="C41" s="173">
        <v>0</v>
      </c>
      <c r="D41" s="173">
        <v>0</v>
      </c>
      <c r="E41" s="173">
        <v>0</v>
      </c>
      <c r="F41" s="173">
        <v>0</v>
      </c>
      <c r="G41" s="1006"/>
      <c r="H41" s="646"/>
      <c r="I41" s="206" t="s">
        <v>32</v>
      </c>
      <c r="J41" s="209" t="e">
        <f t="shared" ref="J41:J45" si="20">C168+C152-C136-C120-C104-C176-C160</f>
        <v>#N/A</v>
      </c>
      <c r="K41" s="209" t="e">
        <f t="shared" ref="K41:K46" si="21">D168+D152-D136-D120-D104-D176-D160</f>
        <v>#N/A</v>
      </c>
      <c r="L41" s="209" t="e">
        <f t="shared" ref="L41:L46" si="22">E168+E152-E136-E120-E104-E176-E160</f>
        <v>#N/A</v>
      </c>
      <c r="M41" s="210" t="e">
        <f t="shared" ref="M41:M46" si="23">F168+F152-F136-F120-F104-F176-F160</f>
        <v>#N/A</v>
      </c>
      <c r="AD41" s="148"/>
    </row>
    <row r="42" spans="1:35" x14ac:dyDescent="0.25">
      <c r="A42" s="1005"/>
      <c r="B42" s="169" t="s">
        <v>38</v>
      </c>
      <c r="C42" s="175" t="e">
        <f>SUM(C36:C41)</f>
        <v>#N/A</v>
      </c>
      <c r="D42" s="175" t="e">
        <f t="shared" ref="D42" si="24">SUM(D36:D41)</f>
        <v>#N/A</v>
      </c>
      <c r="E42" s="175" t="e">
        <f t="shared" ref="E42:F42" si="25">SUM(E36:E41)</f>
        <v>#N/A</v>
      </c>
      <c r="F42" s="175" t="e">
        <f t="shared" si="25"/>
        <v>#N/A</v>
      </c>
      <c r="G42" s="1007"/>
      <c r="H42" s="646"/>
      <c r="I42" s="206" t="s">
        <v>33</v>
      </c>
      <c r="J42" s="209">
        <f t="shared" si="20"/>
        <v>0</v>
      </c>
      <c r="K42" s="209">
        <f t="shared" si="21"/>
        <v>0</v>
      </c>
      <c r="L42" s="209">
        <f t="shared" si="22"/>
        <v>0</v>
      </c>
      <c r="M42" s="210">
        <f t="shared" si="23"/>
        <v>0</v>
      </c>
      <c r="AD42" s="148"/>
    </row>
    <row r="43" spans="1:35" s="153" customFormat="1" x14ac:dyDescent="0.25">
      <c r="A43" s="989" t="s">
        <v>137</v>
      </c>
      <c r="B43" s="171" t="s">
        <v>138</v>
      </c>
      <c r="C43" s="172" t="s">
        <v>39</v>
      </c>
      <c r="D43" s="172" t="s">
        <v>39</v>
      </c>
      <c r="E43" s="172" t="s">
        <v>39</v>
      </c>
      <c r="F43" s="172" t="s">
        <v>39</v>
      </c>
      <c r="G43" s="672"/>
      <c r="H43" s="646"/>
      <c r="I43" s="211" t="s">
        <v>34</v>
      </c>
      <c r="J43" s="209">
        <f t="shared" si="20"/>
        <v>0</v>
      </c>
      <c r="K43" s="209">
        <f t="shared" si="21"/>
        <v>0</v>
      </c>
      <c r="L43" s="209">
        <f t="shared" si="22"/>
        <v>0</v>
      </c>
      <c r="M43" s="210">
        <f t="shared" si="23"/>
        <v>0</v>
      </c>
      <c r="N43" s="143"/>
      <c r="O43" s="151"/>
      <c r="P43" s="151"/>
      <c r="Q43" s="151"/>
      <c r="R43" s="151"/>
      <c r="S43" s="151"/>
      <c r="T43" s="151"/>
      <c r="U43" s="151"/>
      <c r="V43" s="151"/>
      <c r="W43" s="151"/>
      <c r="X43" s="151"/>
      <c r="Y43" s="151"/>
      <c r="Z43" s="151"/>
      <c r="AA43" s="151"/>
      <c r="AB43" s="151"/>
      <c r="AC43" s="151"/>
      <c r="AD43" s="152"/>
      <c r="AE43" s="151"/>
      <c r="AF43" s="151"/>
      <c r="AG43" s="151"/>
      <c r="AH43" s="151"/>
      <c r="AI43" s="151"/>
    </row>
    <row r="44" spans="1:35" s="153" customFormat="1" x14ac:dyDescent="0.25">
      <c r="A44" s="990"/>
      <c r="B44" s="166" t="s">
        <v>29</v>
      </c>
      <c r="C44" s="173">
        <v>0</v>
      </c>
      <c r="D44" s="173">
        <v>0</v>
      </c>
      <c r="E44" s="173">
        <v>0</v>
      </c>
      <c r="F44" s="173">
        <v>0</v>
      </c>
      <c r="G44" s="994">
        <f>INDEX(Uncertainty_Factors_Table[Value],MATCH('Baseline data entry'!I64,Uncertainty_factors,0))</f>
        <v>0.66</v>
      </c>
      <c r="H44" s="646"/>
      <c r="I44" s="206" t="s">
        <v>35</v>
      </c>
      <c r="J44" s="209">
        <f t="shared" si="20"/>
        <v>0</v>
      </c>
      <c r="K44" s="209">
        <f t="shared" si="21"/>
        <v>0</v>
      </c>
      <c r="L44" s="209">
        <f t="shared" si="22"/>
        <v>0</v>
      </c>
      <c r="M44" s="210">
        <f t="shared" si="23"/>
        <v>0</v>
      </c>
      <c r="N44" s="143"/>
      <c r="O44" s="151"/>
      <c r="P44" s="151"/>
      <c r="Q44" s="151"/>
      <c r="R44" s="151"/>
      <c r="S44" s="151"/>
      <c r="T44" s="151"/>
      <c r="U44" s="151"/>
      <c r="V44" s="151"/>
      <c r="W44" s="151"/>
      <c r="X44" s="151"/>
      <c r="Y44" s="151"/>
      <c r="Z44" s="151"/>
      <c r="AA44" s="151"/>
      <c r="AB44" s="151"/>
      <c r="AC44" s="151"/>
      <c r="AD44" s="152"/>
      <c r="AE44" s="151"/>
      <c r="AF44" s="151"/>
      <c r="AG44" s="151"/>
      <c r="AH44" s="151"/>
      <c r="AI44" s="151"/>
    </row>
    <row r="45" spans="1:35" s="153" customFormat="1" x14ac:dyDescent="0.25">
      <c r="A45" s="990"/>
      <c r="B45" s="166" t="s">
        <v>32</v>
      </c>
      <c r="C45" s="174" t="e">
        <f>(INDEX(Reductions_Table[Value],MATCH("1.1_"&amp;'Baseline data entry'!E64,Reductions_Table[ID3],0))+INDEX(Reductions_Table[Value],MATCH("1.2_"&amp;'Baseline data entry'!E65,Reductions_Table[ID3],0))+INDEX(Reductions_Table[Value],MATCH("1.3_"&amp;'Baseline data entry'!E66,Reductions_Table[ID3],0))+INDEX(Reductions_Table[Value],MATCH("1.4_"&amp;'Baseline data entry'!E67,Reductions_Table[ID3],0)))/100</f>
        <v>#N/A</v>
      </c>
      <c r="D45" s="174" t="e">
        <f>(INDEX(Reductions_Table[Value],MATCH("1.1_"&amp;'Scenario data entry'!F69,Reductions_Table[ID3],0))+INDEX(Reductions_Table[Value],MATCH("1.2_"&amp;'Scenario data entry'!F70,Reductions_Table[ID3],0))+INDEX(Reductions_Table[Value],MATCH("1.3_"&amp;'Scenario data entry'!F71,Reductions_Table[ID3],0))+INDEX(Reductions_Table[Value],MATCH("1.4_"&amp;'Scenario data entry'!F72,Reductions_Table[ID3],0)))/100</f>
        <v>#N/A</v>
      </c>
      <c r="E45" s="174" t="e">
        <f>(INDEX(Reductions_Table[Value],MATCH("1.1_"&amp;'Scenario data entry'!G69,Reductions_Table[ID3],0))+INDEX(Reductions_Table[Value],MATCH("1.2_"&amp;'Scenario data entry'!G70,Reductions_Table[ID3],0))+INDEX(Reductions_Table[Value],MATCH("1.3_"&amp;'Scenario data entry'!G71,Reductions_Table[ID3],0))+INDEX(Reductions_Table[Value],MATCH("1.4_"&amp;'Scenario data entry'!G72,Reductions_Table[ID3],0)))/100</f>
        <v>#N/A</v>
      </c>
      <c r="F45" s="174" t="e">
        <f>(INDEX(Reductions_Table[Value],MATCH("1.1_"&amp;'Scenario data entry'!H69,Reductions_Table[ID3],0))+INDEX(Reductions_Table[Value],MATCH("1.2_"&amp;'Scenario data entry'!H70,Reductions_Table[ID3],0))+INDEX(Reductions_Table[Value],MATCH("1.3_"&amp;'Scenario data entry'!H71,Reductions_Table[ID3],0))+INDEX(Reductions_Table[Value],MATCH("1.4_"&amp;'Scenario data entry'!H72,Reductions_Table[ID3],0)))/100</f>
        <v>#N/A</v>
      </c>
      <c r="G45" s="994"/>
      <c r="H45" s="646"/>
      <c r="I45" s="211" t="s">
        <v>36</v>
      </c>
      <c r="J45" s="209">
        <f t="shared" si="20"/>
        <v>0</v>
      </c>
      <c r="K45" s="209">
        <f t="shared" si="21"/>
        <v>0</v>
      </c>
      <c r="L45" s="209">
        <f t="shared" si="22"/>
        <v>0</v>
      </c>
      <c r="M45" s="210">
        <f t="shared" si="23"/>
        <v>0</v>
      </c>
      <c r="N45" s="143"/>
      <c r="O45" s="151"/>
      <c r="P45" s="151"/>
      <c r="Q45" s="151"/>
      <c r="R45" s="151"/>
      <c r="S45" s="151"/>
      <c r="T45" s="151"/>
      <c r="U45" s="151"/>
      <c r="V45" s="151"/>
      <c r="W45" s="151"/>
      <c r="X45" s="151"/>
      <c r="Y45" s="151"/>
      <c r="Z45" s="151"/>
      <c r="AA45" s="151"/>
      <c r="AB45" s="151"/>
      <c r="AC45" s="151"/>
      <c r="AD45" s="152"/>
      <c r="AE45" s="151"/>
      <c r="AF45" s="151"/>
      <c r="AG45" s="151"/>
      <c r="AH45" s="151"/>
      <c r="AI45" s="151"/>
    </row>
    <row r="46" spans="1:35" s="153" customFormat="1" x14ac:dyDescent="0.25">
      <c r="A46" s="990"/>
      <c r="B46" s="166" t="s">
        <v>33</v>
      </c>
      <c r="C46" s="173">
        <v>0</v>
      </c>
      <c r="D46" s="173">
        <v>0</v>
      </c>
      <c r="E46" s="173">
        <v>0</v>
      </c>
      <c r="F46" s="173">
        <v>0</v>
      </c>
      <c r="G46" s="994"/>
      <c r="H46" s="646"/>
      <c r="I46" s="206" t="s">
        <v>124</v>
      </c>
      <c r="J46" s="209" t="e">
        <f>C173+C157-C141-C125-C109-C181-C165</f>
        <v>#N/A</v>
      </c>
      <c r="K46" s="209" t="e">
        <f t="shared" si="21"/>
        <v>#N/A</v>
      </c>
      <c r="L46" s="209" t="e">
        <f t="shared" si="22"/>
        <v>#N/A</v>
      </c>
      <c r="M46" s="210" t="e">
        <f t="shared" si="23"/>
        <v>#N/A</v>
      </c>
      <c r="N46" s="143"/>
      <c r="O46" s="151"/>
      <c r="P46" s="151"/>
      <c r="Q46" s="151"/>
      <c r="R46" s="151"/>
      <c r="S46" s="151"/>
      <c r="T46" s="151"/>
      <c r="U46" s="151"/>
      <c r="V46" s="151"/>
      <c r="W46" s="151"/>
      <c r="X46" s="151"/>
      <c r="Y46" s="151"/>
      <c r="Z46" s="151"/>
      <c r="AA46" s="151"/>
      <c r="AB46" s="151"/>
      <c r="AC46" s="151"/>
      <c r="AD46" s="152"/>
      <c r="AE46" s="151"/>
      <c r="AF46" s="151"/>
      <c r="AG46" s="151"/>
      <c r="AH46" s="151"/>
      <c r="AI46" s="151"/>
    </row>
    <row r="47" spans="1:35" s="153" customFormat="1" x14ac:dyDescent="0.25">
      <c r="A47" s="990"/>
      <c r="B47" s="166" t="s">
        <v>34</v>
      </c>
      <c r="C47" s="173">
        <v>0</v>
      </c>
      <c r="D47" s="173">
        <v>0</v>
      </c>
      <c r="E47" s="173">
        <v>0</v>
      </c>
      <c r="F47" s="173">
        <v>0</v>
      </c>
      <c r="G47" s="994"/>
      <c r="H47" s="646"/>
      <c r="I47" s="1008" t="s">
        <v>133</v>
      </c>
      <c r="J47" s="1009"/>
      <c r="K47" s="1009"/>
      <c r="L47" s="1009"/>
      <c r="M47" s="1010"/>
      <c r="N47" s="143"/>
      <c r="O47" s="151"/>
      <c r="P47" s="151"/>
      <c r="Q47" s="151"/>
      <c r="R47" s="151"/>
      <c r="S47" s="151"/>
      <c r="T47" s="151"/>
      <c r="U47" s="151"/>
      <c r="V47" s="151"/>
      <c r="W47" s="151"/>
      <c r="X47" s="151"/>
      <c r="Y47" s="151"/>
      <c r="Z47" s="151"/>
      <c r="AA47" s="151"/>
      <c r="AB47" s="151"/>
      <c r="AC47" s="151"/>
      <c r="AD47" s="152"/>
      <c r="AE47" s="151"/>
      <c r="AF47" s="151"/>
      <c r="AG47" s="151"/>
      <c r="AH47" s="151"/>
      <c r="AI47" s="151"/>
    </row>
    <row r="48" spans="1:35" s="153" customFormat="1" x14ac:dyDescent="0.25">
      <c r="A48" s="990"/>
      <c r="B48" s="405" t="s">
        <v>35</v>
      </c>
      <c r="C48" s="173">
        <v>0</v>
      </c>
      <c r="D48" s="173">
        <v>0</v>
      </c>
      <c r="E48" s="173">
        <v>0</v>
      </c>
      <c r="F48" s="173">
        <v>0</v>
      </c>
      <c r="G48" s="994"/>
      <c r="H48" s="646"/>
      <c r="I48" s="203" t="s">
        <v>123</v>
      </c>
      <c r="J48" s="204" t="s">
        <v>9</v>
      </c>
      <c r="K48" s="204" t="s">
        <v>99</v>
      </c>
      <c r="L48" s="204" t="s">
        <v>100</v>
      </c>
      <c r="M48" s="205" t="s">
        <v>101</v>
      </c>
      <c r="N48" s="143"/>
      <c r="O48" s="151"/>
      <c r="P48" s="151"/>
      <c r="Q48" s="151"/>
      <c r="R48" s="151"/>
      <c r="S48" s="151"/>
      <c r="T48" s="151"/>
      <c r="U48" s="151"/>
      <c r="V48" s="151"/>
      <c r="W48" s="151"/>
      <c r="X48" s="151"/>
      <c r="Y48" s="151"/>
      <c r="Z48" s="151"/>
      <c r="AA48" s="151"/>
      <c r="AB48" s="151"/>
      <c r="AC48" s="151"/>
      <c r="AD48" s="152"/>
      <c r="AE48" s="151"/>
      <c r="AF48" s="151"/>
      <c r="AG48" s="151"/>
      <c r="AH48" s="151"/>
      <c r="AI48" s="151"/>
    </row>
    <row r="49" spans="1:35" s="153" customFormat="1" x14ac:dyDescent="0.25">
      <c r="A49" s="990"/>
      <c r="B49" s="166" t="s">
        <v>36</v>
      </c>
      <c r="C49" s="173">
        <v>0</v>
      </c>
      <c r="D49" s="173">
        <v>0</v>
      </c>
      <c r="E49" s="173">
        <v>0</v>
      </c>
      <c r="F49" s="173">
        <v>0</v>
      </c>
      <c r="G49" s="994"/>
      <c r="H49" s="646"/>
      <c r="I49" s="206" t="s">
        <v>29</v>
      </c>
      <c r="J49" s="209">
        <f t="shared" ref="J49:M55" si="26">C86-C53-C94</f>
        <v>0</v>
      </c>
      <c r="K49" s="209">
        <f t="shared" si="26"/>
        <v>0</v>
      </c>
      <c r="L49" s="209">
        <f t="shared" si="26"/>
        <v>0</v>
      </c>
      <c r="M49" s="210">
        <f t="shared" si="26"/>
        <v>0</v>
      </c>
      <c r="N49" s="143"/>
      <c r="O49" s="151"/>
      <c r="P49" s="151"/>
      <c r="Q49" s="151"/>
      <c r="R49" s="151"/>
      <c r="S49" s="151"/>
      <c r="T49" s="151"/>
      <c r="U49" s="151"/>
      <c r="V49" s="151"/>
      <c r="W49" s="151"/>
      <c r="X49" s="151"/>
      <c r="Y49" s="151"/>
      <c r="Z49" s="151"/>
      <c r="AA49" s="151"/>
      <c r="AB49" s="151"/>
      <c r="AC49" s="151"/>
      <c r="AD49" s="152"/>
      <c r="AE49" s="151"/>
      <c r="AF49" s="151"/>
      <c r="AG49" s="151"/>
      <c r="AH49" s="151"/>
      <c r="AI49" s="151"/>
    </row>
    <row r="50" spans="1:35" s="153" customFormat="1" x14ac:dyDescent="0.25">
      <c r="A50" s="991"/>
      <c r="B50" s="169" t="s">
        <v>38</v>
      </c>
      <c r="C50" s="175" t="e">
        <f>SUM(C44:C49)</f>
        <v>#N/A</v>
      </c>
      <c r="D50" s="175" t="e">
        <f t="shared" ref="D50" si="27">SUM(D44:D49)</f>
        <v>#N/A</v>
      </c>
      <c r="E50" s="175" t="e">
        <f t="shared" ref="E50:F50" si="28">SUM(E44:E49)</f>
        <v>#N/A</v>
      </c>
      <c r="F50" s="175" t="e">
        <f t="shared" si="28"/>
        <v>#N/A</v>
      </c>
      <c r="G50" s="995"/>
      <c r="H50" s="646"/>
      <c r="I50" s="206" t="s">
        <v>32</v>
      </c>
      <c r="J50" s="209" t="e">
        <f t="shared" si="26"/>
        <v>#N/A</v>
      </c>
      <c r="K50" s="209" t="e">
        <f t="shared" si="26"/>
        <v>#N/A</v>
      </c>
      <c r="L50" s="209" t="e">
        <f t="shared" si="26"/>
        <v>#N/A</v>
      </c>
      <c r="M50" s="210" t="e">
        <f t="shared" si="26"/>
        <v>#N/A</v>
      </c>
      <c r="N50" s="143"/>
      <c r="O50" s="151"/>
      <c r="P50" s="151"/>
      <c r="Q50" s="151"/>
      <c r="R50" s="151"/>
      <c r="S50" s="151"/>
      <c r="T50" s="151"/>
      <c r="U50" s="151"/>
      <c r="V50" s="151"/>
      <c r="W50" s="151"/>
      <c r="X50" s="151"/>
      <c r="Y50" s="151"/>
      <c r="Z50" s="151"/>
      <c r="AA50" s="151"/>
      <c r="AB50" s="151"/>
      <c r="AC50" s="151"/>
      <c r="AD50" s="152"/>
      <c r="AE50" s="151"/>
      <c r="AF50" s="151"/>
      <c r="AG50" s="151"/>
      <c r="AH50" s="151"/>
      <c r="AI50" s="151"/>
    </row>
    <row r="51" spans="1:35" s="153" customFormat="1" ht="18.75" x14ac:dyDescent="0.3">
      <c r="A51" s="180" t="s">
        <v>141</v>
      </c>
      <c r="B51" s="181"/>
      <c r="C51" s="182"/>
      <c r="D51" s="182"/>
      <c r="E51" s="182"/>
      <c r="F51" s="182"/>
      <c r="G51" s="673"/>
      <c r="H51" s="646"/>
      <c r="I51" s="206" t="s">
        <v>33</v>
      </c>
      <c r="J51" s="209">
        <f t="shared" si="26"/>
        <v>0</v>
      </c>
      <c r="K51" s="209">
        <f t="shared" si="26"/>
        <v>0</v>
      </c>
      <c r="L51" s="209">
        <f t="shared" si="26"/>
        <v>0</v>
      </c>
      <c r="M51" s="210">
        <f t="shared" si="26"/>
        <v>0</v>
      </c>
      <c r="N51" s="143"/>
      <c r="O51" s="151"/>
      <c r="P51" s="151"/>
      <c r="Q51" s="151"/>
      <c r="R51" s="151"/>
      <c r="S51" s="151"/>
      <c r="T51" s="151"/>
      <c r="U51" s="151"/>
      <c r="V51" s="151"/>
      <c r="W51" s="151"/>
      <c r="X51" s="151"/>
      <c r="Y51" s="151"/>
      <c r="Z51" s="151"/>
      <c r="AA51" s="151"/>
      <c r="AB51" s="151"/>
      <c r="AC51" s="151"/>
      <c r="AD51" s="152"/>
      <c r="AE51" s="151"/>
      <c r="AF51" s="151"/>
      <c r="AG51" s="151"/>
      <c r="AH51" s="151"/>
      <c r="AI51" s="151"/>
    </row>
    <row r="52" spans="1:35" s="153" customFormat="1" x14ac:dyDescent="0.25">
      <c r="A52" s="989" t="s">
        <v>142</v>
      </c>
      <c r="B52" s="164" t="s">
        <v>316</v>
      </c>
      <c r="C52" s="165" t="s">
        <v>143</v>
      </c>
      <c r="D52" s="165" t="s">
        <v>143</v>
      </c>
      <c r="E52" s="165" t="s">
        <v>143</v>
      </c>
      <c r="F52" s="165" t="s">
        <v>143</v>
      </c>
      <c r="G52" s="674"/>
      <c r="H52" s="646"/>
      <c r="I52" s="211" t="s">
        <v>34</v>
      </c>
      <c r="J52" s="209">
        <f t="shared" si="26"/>
        <v>0</v>
      </c>
      <c r="K52" s="209">
        <f t="shared" si="26"/>
        <v>0</v>
      </c>
      <c r="L52" s="209">
        <f t="shared" si="26"/>
        <v>0</v>
      </c>
      <c r="M52" s="210">
        <f t="shared" si="26"/>
        <v>0</v>
      </c>
      <c r="N52" s="143"/>
      <c r="O52" s="151"/>
      <c r="P52" s="151"/>
      <c r="Q52" s="151"/>
      <c r="R52" s="151"/>
      <c r="S52" s="151"/>
      <c r="T52" s="151"/>
      <c r="U52" s="151"/>
      <c r="V52" s="151"/>
      <c r="W52" s="151"/>
      <c r="X52" s="151"/>
      <c r="Y52" s="151"/>
      <c r="Z52" s="151"/>
      <c r="AA52" s="151"/>
      <c r="AB52" s="151"/>
      <c r="AC52" s="151"/>
      <c r="AD52" s="152"/>
      <c r="AE52" s="151"/>
      <c r="AF52" s="151"/>
      <c r="AG52" s="151"/>
      <c r="AH52" s="151"/>
      <c r="AI52" s="151"/>
    </row>
    <row r="53" spans="1:35" s="153" customFormat="1" x14ac:dyDescent="0.25">
      <c r="A53" s="990"/>
      <c r="B53" s="166" t="s">
        <v>29</v>
      </c>
      <c r="C53" s="183">
        <f>'Baseline data entry'!E23*365</f>
        <v>0</v>
      </c>
      <c r="D53" s="183">
        <f>D86-D94</f>
        <v>0</v>
      </c>
      <c r="E53" s="183">
        <f t="shared" ref="E53:F53" si="29">E86-E94</f>
        <v>0</v>
      </c>
      <c r="F53" s="183">
        <f t="shared" si="29"/>
        <v>0</v>
      </c>
      <c r="G53" s="992" t="e">
        <f>INDEX(Uncertainty_Factors_Table[Value],MATCH('Baseline data entry'!I23,Uncertainty_factors,0))</f>
        <v>#N/A</v>
      </c>
      <c r="H53" s="646"/>
      <c r="I53" s="206" t="s">
        <v>35</v>
      </c>
      <c r="J53" s="209">
        <f t="shared" si="26"/>
        <v>0</v>
      </c>
      <c r="K53" s="209">
        <f t="shared" si="26"/>
        <v>0</v>
      </c>
      <c r="L53" s="209">
        <f t="shared" si="26"/>
        <v>0</v>
      </c>
      <c r="M53" s="210">
        <f t="shared" si="26"/>
        <v>0</v>
      </c>
      <c r="N53" s="143"/>
      <c r="O53" s="151"/>
      <c r="P53" s="151"/>
      <c r="Q53" s="151"/>
      <c r="R53" s="151"/>
      <c r="S53" s="151"/>
      <c r="T53" s="151"/>
      <c r="U53" s="151"/>
      <c r="V53" s="151"/>
      <c r="W53" s="151"/>
      <c r="X53" s="151"/>
      <c r="Y53" s="151"/>
      <c r="Z53" s="151"/>
      <c r="AA53" s="151"/>
      <c r="AB53" s="151"/>
      <c r="AC53" s="151"/>
      <c r="AD53" s="152"/>
      <c r="AE53" s="151"/>
      <c r="AF53" s="151"/>
      <c r="AG53" s="151"/>
      <c r="AH53" s="151"/>
      <c r="AI53" s="151"/>
    </row>
    <row r="54" spans="1:35" s="153" customFormat="1" x14ac:dyDescent="0.25">
      <c r="A54" s="990"/>
      <c r="B54" s="166" t="s">
        <v>32</v>
      </c>
      <c r="C54" s="183">
        <f>'Baseline data entry'!E24*365</f>
        <v>0</v>
      </c>
      <c r="D54" s="183" t="e">
        <f>D87-D95</f>
        <v>#N/A</v>
      </c>
      <c r="E54" s="183" t="e">
        <f t="shared" ref="E54:F54" si="30">E87-E95</f>
        <v>#N/A</v>
      </c>
      <c r="F54" s="183" t="e">
        <f t="shared" si="30"/>
        <v>#N/A</v>
      </c>
      <c r="G54" s="992"/>
      <c r="H54" s="646"/>
      <c r="I54" s="211" t="s">
        <v>36</v>
      </c>
      <c r="J54" s="209">
        <f t="shared" si="26"/>
        <v>0</v>
      </c>
      <c r="K54" s="209">
        <f t="shared" si="26"/>
        <v>0</v>
      </c>
      <c r="L54" s="209">
        <f t="shared" si="26"/>
        <v>0</v>
      </c>
      <c r="M54" s="210">
        <f t="shared" si="26"/>
        <v>0</v>
      </c>
      <c r="N54" s="143"/>
      <c r="O54" s="151"/>
      <c r="P54" s="151"/>
      <c r="Q54" s="151"/>
      <c r="R54" s="151"/>
      <c r="S54" s="151"/>
      <c r="T54" s="151"/>
      <c r="U54" s="151"/>
      <c r="V54" s="151"/>
      <c r="W54" s="151"/>
      <c r="X54" s="151"/>
      <c r="Y54" s="151"/>
      <c r="Z54" s="151"/>
      <c r="AA54" s="151"/>
      <c r="AB54" s="151"/>
      <c r="AC54" s="151"/>
      <c r="AD54" s="152"/>
      <c r="AE54" s="151"/>
      <c r="AF54" s="151"/>
      <c r="AG54" s="151"/>
      <c r="AH54" s="151"/>
      <c r="AI54" s="151"/>
    </row>
    <row r="55" spans="1:35" s="153" customFormat="1" x14ac:dyDescent="0.25">
      <c r="A55" s="990"/>
      <c r="B55" s="166" t="s">
        <v>33</v>
      </c>
      <c r="C55" s="183">
        <f>'Baseline data entry'!E25*365</f>
        <v>0</v>
      </c>
      <c r="D55" s="183">
        <f t="shared" ref="D55:F55" si="31">D88-D96</f>
        <v>0</v>
      </c>
      <c r="E55" s="183">
        <f t="shared" si="31"/>
        <v>0</v>
      </c>
      <c r="F55" s="183">
        <f t="shared" si="31"/>
        <v>0</v>
      </c>
      <c r="G55" s="992"/>
      <c r="H55" s="646"/>
      <c r="I55" s="212" t="s">
        <v>124</v>
      </c>
      <c r="J55" s="213" t="e">
        <f t="shared" si="26"/>
        <v>#N/A</v>
      </c>
      <c r="K55" s="213" t="e">
        <f t="shared" si="26"/>
        <v>#N/A</v>
      </c>
      <c r="L55" s="213" t="e">
        <f t="shared" si="26"/>
        <v>#N/A</v>
      </c>
      <c r="M55" s="214" t="e">
        <f t="shared" si="26"/>
        <v>#N/A</v>
      </c>
      <c r="N55" s="143"/>
      <c r="O55" s="151"/>
      <c r="P55" s="151"/>
      <c r="Q55" s="151"/>
      <c r="R55" s="151"/>
      <c r="S55" s="151"/>
      <c r="T55" s="151"/>
      <c r="U55" s="151"/>
      <c r="V55" s="151"/>
      <c r="W55" s="151"/>
      <c r="X55" s="151"/>
      <c r="Y55" s="151"/>
      <c r="Z55" s="151"/>
      <c r="AA55" s="151"/>
      <c r="AB55" s="151"/>
      <c r="AC55" s="151"/>
      <c r="AD55" s="152"/>
      <c r="AE55" s="151"/>
      <c r="AF55" s="151"/>
      <c r="AG55" s="151"/>
      <c r="AH55" s="151"/>
      <c r="AI55" s="151"/>
    </row>
    <row r="56" spans="1:35" s="153" customFormat="1" x14ac:dyDescent="0.25">
      <c r="A56" s="990"/>
      <c r="B56" s="166" t="s">
        <v>34</v>
      </c>
      <c r="C56" s="183">
        <f>'Baseline data entry'!E26*365</f>
        <v>0</v>
      </c>
      <c r="D56" s="183">
        <f t="shared" ref="D56:F56" si="32">D89-D97</f>
        <v>0</v>
      </c>
      <c r="E56" s="183">
        <f t="shared" si="32"/>
        <v>0</v>
      </c>
      <c r="F56" s="183">
        <f t="shared" si="32"/>
        <v>0</v>
      </c>
      <c r="G56" s="992"/>
      <c r="H56" s="646"/>
      <c r="I56" s="1008" t="s">
        <v>136</v>
      </c>
      <c r="J56" s="1009"/>
      <c r="K56" s="1009"/>
      <c r="L56" s="1009"/>
      <c r="M56" s="1010"/>
      <c r="N56" s="143"/>
      <c r="O56" s="151"/>
      <c r="P56" s="151"/>
      <c r="Q56" s="151"/>
      <c r="R56" s="151"/>
      <c r="S56" s="151"/>
      <c r="T56" s="151"/>
      <c r="U56" s="151"/>
      <c r="V56" s="151"/>
      <c r="W56" s="151"/>
      <c r="X56" s="151"/>
      <c r="Y56" s="151"/>
      <c r="Z56" s="151"/>
      <c r="AA56" s="151"/>
      <c r="AB56" s="151"/>
      <c r="AC56" s="151"/>
      <c r="AD56" s="152"/>
      <c r="AE56" s="151"/>
      <c r="AF56" s="151"/>
      <c r="AG56" s="151"/>
      <c r="AH56" s="151"/>
      <c r="AI56" s="151"/>
    </row>
    <row r="57" spans="1:35" s="153" customFormat="1" x14ac:dyDescent="0.25">
      <c r="A57" s="990"/>
      <c r="B57" s="166" t="s">
        <v>35</v>
      </c>
      <c r="C57" s="183">
        <f>'Baseline data entry'!E27*365</f>
        <v>0</v>
      </c>
      <c r="D57" s="183">
        <f t="shared" ref="D57:F57" si="33">D90-D98</f>
        <v>0</v>
      </c>
      <c r="E57" s="183">
        <f t="shared" si="33"/>
        <v>0</v>
      </c>
      <c r="F57" s="183">
        <f t="shared" si="33"/>
        <v>0</v>
      </c>
      <c r="G57" s="992"/>
      <c r="H57" s="646"/>
      <c r="I57" s="203" t="s">
        <v>123</v>
      </c>
      <c r="J57" s="204" t="s">
        <v>9</v>
      </c>
      <c r="K57" s="204" t="s">
        <v>99</v>
      </c>
      <c r="L57" s="204" t="s">
        <v>100</v>
      </c>
      <c r="M57" s="205" t="s">
        <v>101</v>
      </c>
      <c r="N57" s="143"/>
      <c r="O57" s="151"/>
      <c r="P57" s="151"/>
      <c r="Q57" s="151"/>
      <c r="R57" s="151"/>
      <c r="S57" s="151"/>
      <c r="T57" s="151"/>
      <c r="U57" s="151"/>
      <c r="V57" s="151"/>
      <c r="W57" s="151"/>
      <c r="X57" s="151"/>
      <c r="Y57" s="151"/>
      <c r="Z57" s="151"/>
      <c r="AA57" s="151"/>
      <c r="AB57" s="151"/>
      <c r="AC57" s="151"/>
      <c r="AD57" s="152"/>
      <c r="AE57" s="151"/>
      <c r="AF57" s="151"/>
      <c r="AG57" s="151"/>
      <c r="AH57" s="151"/>
      <c r="AI57" s="151"/>
    </row>
    <row r="58" spans="1:35" s="153" customFormat="1" x14ac:dyDescent="0.25">
      <c r="A58" s="990"/>
      <c r="B58" s="166" t="s">
        <v>36</v>
      </c>
      <c r="C58" s="183">
        <f>'Baseline data entry'!E28*365</f>
        <v>0</v>
      </c>
      <c r="D58" s="183">
        <f t="shared" ref="D58:F58" si="34">D91-D99</f>
        <v>0</v>
      </c>
      <c r="E58" s="183">
        <f t="shared" si="34"/>
        <v>0</v>
      </c>
      <c r="F58" s="183">
        <f t="shared" si="34"/>
        <v>0</v>
      </c>
      <c r="G58" s="992"/>
      <c r="H58" s="646"/>
      <c r="I58" s="206" t="s">
        <v>29</v>
      </c>
      <c r="J58" s="209">
        <f t="shared" ref="J58:M64" si="35">C53-C69-C61</f>
        <v>0</v>
      </c>
      <c r="K58" s="209">
        <f t="shared" si="35"/>
        <v>0</v>
      </c>
      <c r="L58" s="209">
        <f t="shared" si="35"/>
        <v>0</v>
      </c>
      <c r="M58" s="210">
        <f t="shared" si="35"/>
        <v>0</v>
      </c>
      <c r="N58" s="143"/>
      <c r="O58" s="151"/>
      <c r="P58" s="151"/>
      <c r="Q58" s="151"/>
      <c r="R58" s="151"/>
      <c r="S58" s="151"/>
      <c r="T58" s="151"/>
      <c r="U58" s="151"/>
      <c r="V58" s="151"/>
      <c r="W58" s="151"/>
      <c r="X58" s="151"/>
      <c r="Y58" s="151"/>
      <c r="Z58" s="151"/>
      <c r="AA58" s="151"/>
      <c r="AB58" s="151"/>
      <c r="AC58" s="151"/>
      <c r="AD58" s="152"/>
      <c r="AE58" s="151"/>
      <c r="AF58" s="151"/>
      <c r="AG58" s="151"/>
      <c r="AH58" s="151"/>
      <c r="AI58" s="151"/>
    </row>
    <row r="59" spans="1:35" s="153" customFormat="1" x14ac:dyDescent="0.25">
      <c r="A59" s="991"/>
      <c r="B59" s="169" t="s">
        <v>107</v>
      </c>
      <c r="C59" s="184">
        <f>SUM(C53:C58)</f>
        <v>0</v>
      </c>
      <c r="D59" s="184" t="e">
        <f t="shared" ref="D59:E59" si="36">SUM(D53:D58)</f>
        <v>#N/A</v>
      </c>
      <c r="E59" s="184" t="e">
        <f t="shared" si="36"/>
        <v>#N/A</v>
      </c>
      <c r="F59" s="184" t="e">
        <f t="shared" ref="F59" si="37">SUM(F53:F58)</f>
        <v>#N/A</v>
      </c>
      <c r="G59" s="993"/>
      <c r="H59" s="646"/>
      <c r="I59" s="206" t="s">
        <v>32</v>
      </c>
      <c r="J59" s="209" t="e">
        <f t="shared" si="35"/>
        <v>#N/A</v>
      </c>
      <c r="K59" s="209" t="e">
        <f t="shared" si="35"/>
        <v>#N/A</v>
      </c>
      <c r="L59" s="209" t="e">
        <f t="shared" si="35"/>
        <v>#N/A</v>
      </c>
      <c r="M59" s="210" t="e">
        <f t="shared" si="35"/>
        <v>#N/A</v>
      </c>
      <c r="N59" s="143"/>
      <c r="O59" s="151"/>
      <c r="P59" s="151"/>
      <c r="Q59" s="151"/>
      <c r="R59" s="151"/>
      <c r="S59" s="151"/>
      <c r="T59" s="151"/>
      <c r="U59" s="151"/>
      <c r="V59" s="151"/>
      <c r="W59" s="151"/>
      <c r="X59" s="151"/>
      <c r="Y59" s="151"/>
      <c r="Z59" s="151"/>
      <c r="AA59" s="151"/>
      <c r="AB59" s="151"/>
      <c r="AC59" s="151"/>
      <c r="AD59" s="152"/>
      <c r="AE59" s="151"/>
      <c r="AF59" s="151"/>
      <c r="AG59" s="151"/>
      <c r="AH59" s="151"/>
      <c r="AI59" s="151"/>
    </row>
    <row r="60" spans="1:35" s="153" customFormat="1" ht="15.75" customHeight="1" x14ac:dyDescent="0.25">
      <c r="A60" s="989" t="s">
        <v>122</v>
      </c>
      <c r="B60" s="164" t="s">
        <v>719</v>
      </c>
      <c r="C60" s="165" t="s">
        <v>143</v>
      </c>
      <c r="D60" s="165" t="s">
        <v>143</v>
      </c>
      <c r="E60" s="165" t="s">
        <v>143</v>
      </c>
      <c r="F60" s="165" t="s">
        <v>143</v>
      </c>
      <c r="G60" s="674"/>
      <c r="H60" s="646"/>
      <c r="I60" s="206" t="s">
        <v>33</v>
      </c>
      <c r="J60" s="209">
        <f t="shared" si="35"/>
        <v>0</v>
      </c>
      <c r="K60" s="209">
        <f t="shared" si="35"/>
        <v>0</v>
      </c>
      <c r="L60" s="209">
        <f t="shared" si="35"/>
        <v>0</v>
      </c>
      <c r="M60" s="210">
        <f t="shared" si="35"/>
        <v>0</v>
      </c>
      <c r="N60" s="143"/>
      <c r="O60" s="151"/>
      <c r="P60" s="151"/>
      <c r="Q60" s="151"/>
      <c r="R60" s="151"/>
      <c r="S60" s="151"/>
      <c r="T60" s="151"/>
      <c r="U60" s="151"/>
      <c r="V60" s="151"/>
      <c r="W60" s="151"/>
      <c r="X60" s="151"/>
      <c r="Y60" s="151"/>
      <c r="Z60" s="151"/>
      <c r="AA60" s="151"/>
      <c r="AB60" s="151"/>
      <c r="AC60" s="151"/>
      <c r="AD60" s="152"/>
      <c r="AE60" s="151"/>
      <c r="AF60" s="151"/>
      <c r="AG60" s="151"/>
      <c r="AH60" s="151"/>
      <c r="AI60" s="151"/>
    </row>
    <row r="61" spans="1:35" s="153" customFormat="1" x14ac:dyDescent="0.25">
      <c r="A61" s="990"/>
      <c r="B61" s="166" t="s">
        <v>29</v>
      </c>
      <c r="C61" s="183">
        <f t="shared" ref="C61:F66" si="38">C53*C4</f>
        <v>0</v>
      </c>
      <c r="D61" s="183">
        <f t="shared" si="38"/>
        <v>0</v>
      </c>
      <c r="E61" s="183">
        <f t="shared" si="38"/>
        <v>0</v>
      </c>
      <c r="F61" s="183">
        <f t="shared" si="38"/>
        <v>0</v>
      </c>
      <c r="G61" s="992">
        <f>INDEX(Uncertainty_Factors_Table[Value],MATCH('Baseline data entry'!I77,Uncertainty_factors,0))</f>
        <v>1</v>
      </c>
      <c r="H61" s="646"/>
      <c r="I61" s="211" t="s">
        <v>34</v>
      </c>
      <c r="J61" s="209">
        <f t="shared" si="35"/>
        <v>0</v>
      </c>
      <c r="K61" s="209">
        <f t="shared" si="35"/>
        <v>0</v>
      </c>
      <c r="L61" s="209">
        <f t="shared" si="35"/>
        <v>0</v>
      </c>
      <c r="M61" s="210">
        <f t="shared" si="35"/>
        <v>0</v>
      </c>
      <c r="N61" s="143"/>
      <c r="O61" s="151"/>
      <c r="P61" s="151"/>
      <c r="Q61" s="151"/>
      <c r="R61" s="151"/>
      <c r="S61" s="151"/>
      <c r="T61" s="151"/>
      <c r="U61" s="151"/>
      <c r="V61" s="151"/>
      <c r="W61" s="151"/>
      <c r="X61" s="151"/>
      <c r="Y61" s="151"/>
      <c r="Z61" s="151"/>
      <c r="AA61" s="151"/>
      <c r="AB61" s="151"/>
      <c r="AC61" s="151"/>
      <c r="AD61" s="152"/>
      <c r="AE61" s="151"/>
      <c r="AF61" s="151"/>
      <c r="AG61" s="151"/>
      <c r="AH61" s="151"/>
      <c r="AI61" s="151"/>
    </row>
    <row r="62" spans="1:35" s="153" customFormat="1" x14ac:dyDescent="0.25">
      <c r="A62" s="990"/>
      <c r="B62" s="166" t="s">
        <v>32</v>
      </c>
      <c r="C62" s="183" t="e">
        <f t="shared" si="38"/>
        <v>#N/A</v>
      </c>
      <c r="D62" s="183" t="e">
        <f t="shared" si="38"/>
        <v>#N/A</v>
      </c>
      <c r="E62" s="183" t="e">
        <f t="shared" si="38"/>
        <v>#N/A</v>
      </c>
      <c r="F62" s="183" t="e">
        <f t="shared" si="38"/>
        <v>#N/A</v>
      </c>
      <c r="G62" s="992"/>
      <c r="H62" s="646"/>
      <c r="I62" s="206" t="s">
        <v>35</v>
      </c>
      <c r="J62" s="209">
        <f t="shared" si="35"/>
        <v>0</v>
      </c>
      <c r="K62" s="209">
        <f t="shared" si="35"/>
        <v>0</v>
      </c>
      <c r="L62" s="209">
        <f t="shared" si="35"/>
        <v>0</v>
      </c>
      <c r="M62" s="210">
        <f t="shared" si="35"/>
        <v>0</v>
      </c>
      <c r="N62" s="143"/>
      <c r="O62" s="151"/>
      <c r="P62" s="151"/>
      <c r="Q62" s="151"/>
      <c r="R62" s="151"/>
      <c r="S62" s="151"/>
      <c r="T62" s="151"/>
      <c r="U62" s="151"/>
      <c r="V62" s="151"/>
      <c r="W62" s="151"/>
      <c r="X62" s="151"/>
      <c r="Y62" s="151"/>
      <c r="Z62" s="151"/>
      <c r="AA62" s="151"/>
      <c r="AB62" s="151"/>
      <c r="AC62" s="151"/>
      <c r="AD62" s="152"/>
      <c r="AE62" s="151"/>
      <c r="AF62" s="151"/>
      <c r="AG62" s="151"/>
      <c r="AH62" s="151"/>
      <c r="AI62" s="151"/>
    </row>
    <row r="63" spans="1:35" s="153" customFormat="1" x14ac:dyDescent="0.25">
      <c r="A63" s="990"/>
      <c r="B63" s="166" t="s">
        <v>33</v>
      </c>
      <c r="C63" s="183">
        <f t="shared" si="38"/>
        <v>0</v>
      </c>
      <c r="D63" s="183">
        <f t="shared" si="38"/>
        <v>0</v>
      </c>
      <c r="E63" s="183">
        <f t="shared" si="38"/>
        <v>0</v>
      </c>
      <c r="F63" s="183">
        <f t="shared" si="38"/>
        <v>0</v>
      </c>
      <c r="G63" s="992"/>
      <c r="H63" s="646"/>
      <c r="I63" s="211" t="s">
        <v>36</v>
      </c>
      <c r="J63" s="209">
        <f t="shared" si="35"/>
        <v>0</v>
      </c>
      <c r="K63" s="209">
        <f t="shared" si="35"/>
        <v>0</v>
      </c>
      <c r="L63" s="209">
        <f t="shared" si="35"/>
        <v>0</v>
      </c>
      <c r="M63" s="210">
        <f t="shared" si="35"/>
        <v>0</v>
      </c>
      <c r="N63" s="143"/>
      <c r="O63" s="151"/>
      <c r="P63" s="151"/>
      <c r="Q63" s="151"/>
      <c r="R63" s="151"/>
      <c r="S63" s="151"/>
      <c r="T63" s="151"/>
      <c r="U63" s="151"/>
      <c r="V63" s="151"/>
      <c r="W63" s="151"/>
      <c r="X63" s="151"/>
      <c r="Y63" s="151"/>
      <c r="Z63" s="151"/>
      <c r="AA63" s="151"/>
      <c r="AB63" s="151"/>
      <c r="AC63" s="151"/>
      <c r="AD63" s="152"/>
      <c r="AE63" s="151"/>
      <c r="AF63" s="151"/>
      <c r="AG63" s="151"/>
      <c r="AH63" s="151"/>
      <c r="AI63" s="151"/>
    </row>
    <row r="64" spans="1:35" s="153" customFormat="1" x14ac:dyDescent="0.25">
      <c r="A64" s="990"/>
      <c r="B64" s="166" t="s">
        <v>34</v>
      </c>
      <c r="C64" s="183">
        <f t="shared" si="38"/>
        <v>0</v>
      </c>
      <c r="D64" s="183">
        <f t="shared" si="38"/>
        <v>0</v>
      </c>
      <c r="E64" s="183">
        <f t="shared" si="38"/>
        <v>0</v>
      </c>
      <c r="F64" s="183">
        <f t="shared" si="38"/>
        <v>0</v>
      </c>
      <c r="G64" s="992"/>
      <c r="H64" s="646"/>
      <c r="I64" s="212" t="s">
        <v>124</v>
      </c>
      <c r="J64" s="213" t="e">
        <f t="shared" si="35"/>
        <v>#N/A</v>
      </c>
      <c r="K64" s="213" t="e">
        <f t="shared" si="35"/>
        <v>#N/A</v>
      </c>
      <c r="L64" s="213" t="e">
        <f t="shared" si="35"/>
        <v>#N/A</v>
      </c>
      <c r="M64" s="214" t="e">
        <f t="shared" si="35"/>
        <v>#N/A</v>
      </c>
      <c r="N64" s="143"/>
      <c r="O64" s="151"/>
      <c r="P64" s="151"/>
      <c r="Q64" s="151"/>
      <c r="R64" s="151"/>
      <c r="S64" s="151"/>
      <c r="T64" s="151"/>
      <c r="U64" s="151"/>
      <c r="V64" s="151"/>
      <c r="W64" s="151"/>
      <c r="X64" s="151"/>
      <c r="Y64" s="151"/>
      <c r="Z64" s="151"/>
      <c r="AA64" s="151"/>
      <c r="AB64" s="151"/>
      <c r="AC64" s="151"/>
      <c r="AD64" s="152"/>
      <c r="AE64" s="151"/>
      <c r="AF64" s="151"/>
      <c r="AG64" s="151"/>
      <c r="AH64" s="151"/>
      <c r="AI64" s="151"/>
    </row>
    <row r="65" spans="1:35" s="153" customFormat="1" x14ac:dyDescent="0.25">
      <c r="A65" s="990"/>
      <c r="B65" s="166" t="s">
        <v>35</v>
      </c>
      <c r="C65" s="183">
        <f t="shared" si="38"/>
        <v>0</v>
      </c>
      <c r="D65" s="183">
        <f t="shared" si="38"/>
        <v>0</v>
      </c>
      <c r="E65" s="183">
        <f t="shared" si="38"/>
        <v>0</v>
      </c>
      <c r="F65" s="183">
        <f t="shared" si="38"/>
        <v>0</v>
      </c>
      <c r="G65" s="992"/>
      <c r="H65" s="646"/>
      <c r="I65" s="1008" t="s">
        <v>139</v>
      </c>
      <c r="J65" s="1009"/>
      <c r="K65" s="1009"/>
      <c r="L65" s="1009"/>
      <c r="M65" s="1010"/>
      <c r="N65" s="143"/>
      <c r="O65" s="151"/>
      <c r="P65" s="151"/>
      <c r="Q65" s="151"/>
      <c r="R65" s="151"/>
      <c r="S65" s="151"/>
      <c r="T65" s="151"/>
      <c r="U65" s="151"/>
      <c r="V65" s="151"/>
      <c r="W65" s="151"/>
      <c r="X65" s="151"/>
      <c r="Y65" s="151"/>
      <c r="Z65" s="151"/>
      <c r="AA65" s="151"/>
      <c r="AB65" s="151"/>
      <c r="AC65" s="151"/>
      <c r="AD65" s="152"/>
      <c r="AE65" s="151"/>
      <c r="AF65" s="151"/>
      <c r="AG65" s="151"/>
      <c r="AH65" s="151"/>
      <c r="AI65" s="151"/>
    </row>
    <row r="66" spans="1:35" s="153" customFormat="1" x14ac:dyDescent="0.25">
      <c r="A66" s="990"/>
      <c r="B66" s="166" t="s">
        <v>36</v>
      </c>
      <c r="C66" s="183">
        <f t="shared" si="38"/>
        <v>0</v>
      </c>
      <c r="D66" s="183">
        <f t="shared" si="38"/>
        <v>0</v>
      </c>
      <c r="E66" s="183">
        <f t="shared" si="38"/>
        <v>0</v>
      </c>
      <c r="F66" s="183">
        <f t="shared" si="38"/>
        <v>0</v>
      </c>
      <c r="G66" s="992"/>
      <c r="H66" s="646"/>
      <c r="I66" s="203" t="s">
        <v>140</v>
      </c>
      <c r="J66" s="204" t="s">
        <v>9</v>
      </c>
      <c r="K66" s="204" t="s">
        <v>99</v>
      </c>
      <c r="L66" s="204" t="s">
        <v>100</v>
      </c>
      <c r="M66" s="205" t="s">
        <v>101</v>
      </c>
      <c r="N66" s="143"/>
      <c r="O66" s="151"/>
      <c r="P66" s="151"/>
      <c r="Q66" s="151"/>
      <c r="R66" s="151"/>
      <c r="S66" s="151"/>
      <c r="T66" s="151"/>
      <c r="U66" s="151"/>
      <c r="V66" s="151"/>
      <c r="W66" s="151"/>
      <c r="X66" s="151"/>
      <c r="Y66" s="151"/>
      <c r="Z66" s="151"/>
      <c r="AA66" s="151"/>
      <c r="AB66" s="151"/>
      <c r="AC66" s="151"/>
      <c r="AD66" s="152"/>
      <c r="AE66" s="151"/>
      <c r="AF66" s="151"/>
      <c r="AG66" s="151"/>
      <c r="AH66" s="151"/>
      <c r="AI66" s="151"/>
    </row>
    <row r="67" spans="1:35" s="153" customFormat="1" x14ac:dyDescent="0.25">
      <c r="A67" s="991"/>
      <c r="B67" s="169" t="s">
        <v>107</v>
      </c>
      <c r="C67" s="184" t="e">
        <f>SUM(C61:C66)</f>
        <v>#N/A</v>
      </c>
      <c r="D67" s="184" t="e">
        <f t="shared" ref="D67:E67" si="39">SUM(D61:D66)</f>
        <v>#N/A</v>
      </c>
      <c r="E67" s="184" t="e">
        <f t="shared" si="39"/>
        <v>#N/A</v>
      </c>
      <c r="F67" s="184" t="e">
        <f t="shared" ref="F67" si="40">SUM(F61:F66)</f>
        <v>#N/A</v>
      </c>
      <c r="G67" s="993"/>
      <c r="H67" s="646"/>
      <c r="I67" s="206" t="s">
        <v>301</v>
      </c>
      <c r="J67" s="209" t="e">
        <f>C227+C201+C209+C176+C95+C160+C62-C273-C269-C279-C276</f>
        <v>#N/A</v>
      </c>
      <c r="K67" s="209" t="e">
        <f t="shared" ref="K67:M67" si="41">D227+D201+D209+D176+D95+D160+D62-D273-D269-D279-D276</f>
        <v>#N/A</v>
      </c>
      <c r="L67" s="209" t="e">
        <f t="shared" si="41"/>
        <v>#N/A</v>
      </c>
      <c r="M67" s="210" t="e">
        <f t="shared" si="41"/>
        <v>#N/A</v>
      </c>
      <c r="N67" s="143"/>
      <c r="O67" s="151"/>
      <c r="P67" s="151"/>
      <c r="Q67" s="151"/>
      <c r="R67" s="151"/>
      <c r="S67" s="151"/>
      <c r="T67" s="151"/>
      <c r="U67" s="151"/>
      <c r="V67" s="151"/>
      <c r="W67" s="151"/>
      <c r="X67" s="151"/>
      <c r="Y67" s="151"/>
      <c r="Z67" s="151"/>
      <c r="AA67" s="151"/>
      <c r="AB67" s="151"/>
      <c r="AC67" s="151"/>
      <c r="AD67" s="152"/>
      <c r="AE67" s="151"/>
      <c r="AF67" s="151"/>
      <c r="AG67" s="151"/>
      <c r="AH67" s="151"/>
      <c r="AI67" s="151"/>
    </row>
    <row r="68" spans="1:35" s="153" customFormat="1" x14ac:dyDescent="0.25">
      <c r="A68" s="1011" t="s">
        <v>146</v>
      </c>
      <c r="B68" s="164" t="s">
        <v>724</v>
      </c>
      <c r="C68" s="165" t="s">
        <v>143</v>
      </c>
      <c r="D68" s="165" t="s">
        <v>143</v>
      </c>
      <c r="E68" s="165" t="s">
        <v>143</v>
      </c>
      <c r="F68" s="165" t="s">
        <v>143</v>
      </c>
      <c r="G68" s="674"/>
      <c r="H68" s="646"/>
      <c r="I68" s="206" t="s">
        <v>144</v>
      </c>
      <c r="J68" s="209" t="e">
        <f>C269-C270-C271</f>
        <v>#N/A</v>
      </c>
      <c r="K68" s="209" t="e">
        <f>D269-D270-D271</f>
        <v>#N/A</v>
      </c>
      <c r="L68" s="209" t="e">
        <f>E269-E270-E271</f>
        <v>#N/A</v>
      </c>
      <c r="M68" s="210" t="e">
        <f>F269-F270-F271</f>
        <v>#N/A</v>
      </c>
      <c r="N68" s="143"/>
      <c r="O68" s="151"/>
      <c r="P68" s="151"/>
      <c r="Q68" s="151"/>
      <c r="R68" s="151"/>
      <c r="S68" s="151"/>
      <c r="T68" s="151"/>
      <c r="U68" s="151"/>
      <c r="V68" s="151"/>
      <c r="W68" s="151"/>
      <c r="X68" s="151"/>
      <c r="Y68" s="151"/>
      <c r="Z68" s="151"/>
      <c r="AA68" s="151"/>
      <c r="AB68" s="151"/>
      <c r="AC68" s="151"/>
      <c r="AD68" s="152"/>
      <c r="AE68" s="151"/>
      <c r="AF68" s="151"/>
      <c r="AG68" s="151"/>
      <c r="AH68" s="151"/>
      <c r="AI68" s="151"/>
    </row>
    <row r="69" spans="1:35" s="153" customFormat="1" ht="16.5" thickBot="1" x14ac:dyDescent="0.3">
      <c r="A69" s="1012"/>
      <c r="B69" s="166" t="s">
        <v>29</v>
      </c>
      <c r="C69" s="183">
        <f>C53-C61</f>
        <v>0</v>
      </c>
      <c r="D69" s="183">
        <f>D53-D61</f>
        <v>0</v>
      </c>
      <c r="E69" s="183">
        <f>E53-E61</f>
        <v>0</v>
      </c>
      <c r="F69" s="183">
        <f t="shared" ref="F69" si="42">F53-F61</f>
        <v>0</v>
      </c>
      <c r="G69" s="992" t="e">
        <f>((C59/(C59+C67))*G53)+((C67/(C59+C67))*G61)</f>
        <v>#N/A</v>
      </c>
      <c r="H69" s="646"/>
      <c r="I69" s="217" t="s">
        <v>145</v>
      </c>
      <c r="J69" s="218" t="e">
        <f>C273+C271-C277</f>
        <v>#N/A</v>
      </c>
      <c r="K69" s="218" t="e">
        <f>D273+D271-D277</f>
        <v>#N/A</v>
      </c>
      <c r="L69" s="218" t="e">
        <f>E273+E271-E277</f>
        <v>#N/A</v>
      </c>
      <c r="M69" s="219" t="e">
        <f>F273+F271-F277</f>
        <v>#N/A</v>
      </c>
      <c r="N69" s="143"/>
      <c r="O69" s="151"/>
      <c r="P69" s="151"/>
      <c r="Q69" s="151"/>
      <c r="R69" s="151"/>
      <c r="S69" s="151"/>
      <c r="T69" s="151"/>
      <c r="U69" s="151"/>
      <c r="V69" s="151"/>
      <c r="W69" s="151"/>
      <c r="X69" s="151"/>
      <c r="Y69" s="151"/>
      <c r="Z69" s="151"/>
      <c r="AA69" s="151"/>
      <c r="AB69" s="151"/>
      <c r="AC69" s="151"/>
      <c r="AD69" s="152"/>
      <c r="AE69" s="151"/>
      <c r="AF69" s="151"/>
      <c r="AG69" s="151"/>
      <c r="AH69" s="151"/>
      <c r="AI69" s="151"/>
    </row>
    <row r="70" spans="1:35" s="153" customFormat="1" x14ac:dyDescent="0.25">
      <c r="A70" s="1012"/>
      <c r="B70" s="166" t="s">
        <v>32</v>
      </c>
      <c r="C70" s="183" t="e">
        <f>C54-C62</f>
        <v>#N/A</v>
      </c>
      <c r="D70" s="183" t="e">
        <f>D54-D62</f>
        <v>#N/A</v>
      </c>
      <c r="E70" s="183" t="e">
        <f t="shared" ref="E70" si="43">E54-E62</f>
        <v>#N/A</v>
      </c>
      <c r="F70" s="183" t="e">
        <f t="shared" ref="F70" si="44">F54-F62</f>
        <v>#N/A</v>
      </c>
      <c r="G70" s="992"/>
      <c r="H70" s="646"/>
      <c r="N70" s="143"/>
      <c r="O70" s="151"/>
      <c r="P70" s="151"/>
      <c r="Q70" s="151"/>
      <c r="R70" s="151"/>
      <c r="S70" s="151"/>
      <c r="T70" s="151"/>
      <c r="U70" s="151"/>
      <c r="V70" s="151"/>
      <c r="W70" s="151"/>
      <c r="X70" s="151"/>
      <c r="Y70" s="151"/>
      <c r="Z70" s="151"/>
      <c r="AA70" s="151"/>
      <c r="AB70" s="151"/>
      <c r="AC70" s="151"/>
      <c r="AD70" s="152"/>
      <c r="AE70" s="151"/>
      <c r="AF70" s="151"/>
      <c r="AG70" s="151"/>
      <c r="AH70" s="151"/>
      <c r="AI70" s="151"/>
    </row>
    <row r="71" spans="1:35" s="153" customFormat="1" x14ac:dyDescent="0.25">
      <c r="A71" s="1012"/>
      <c r="B71" s="166" t="s">
        <v>33</v>
      </c>
      <c r="C71" s="183">
        <f t="shared" ref="C71:E71" si="45">C55-C63</f>
        <v>0</v>
      </c>
      <c r="D71" s="183">
        <f t="shared" si="45"/>
        <v>0</v>
      </c>
      <c r="E71" s="183">
        <f t="shared" si="45"/>
        <v>0</v>
      </c>
      <c r="F71" s="183">
        <f t="shared" ref="F71" si="46">F55-F63</f>
        <v>0</v>
      </c>
      <c r="G71" s="992"/>
      <c r="H71" s="646"/>
      <c r="N71" s="143"/>
      <c r="O71" s="151"/>
      <c r="P71" s="151"/>
      <c r="Q71" s="151"/>
      <c r="R71" s="151"/>
      <c r="S71" s="151"/>
      <c r="T71" s="151"/>
      <c r="U71" s="151"/>
      <c r="V71" s="151"/>
      <c r="W71" s="151"/>
      <c r="X71" s="151"/>
      <c r="Y71" s="151"/>
      <c r="Z71" s="151"/>
      <c r="AA71" s="151"/>
      <c r="AB71" s="151"/>
      <c r="AC71" s="151"/>
      <c r="AD71" s="152"/>
      <c r="AE71" s="151"/>
      <c r="AF71" s="151"/>
      <c r="AG71" s="151"/>
      <c r="AH71" s="151"/>
      <c r="AI71" s="151"/>
    </row>
    <row r="72" spans="1:35" s="153" customFormat="1" x14ac:dyDescent="0.25">
      <c r="A72" s="1012"/>
      <c r="B72" s="166" t="s">
        <v>34</v>
      </c>
      <c r="C72" s="183">
        <f t="shared" ref="C72:E72" si="47">C56-C64</f>
        <v>0</v>
      </c>
      <c r="D72" s="183">
        <f t="shared" si="47"/>
        <v>0</v>
      </c>
      <c r="E72" s="183">
        <f t="shared" si="47"/>
        <v>0</v>
      </c>
      <c r="F72" s="183">
        <f t="shared" ref="F72" si="48">F56-F64</f>
        <v>0</v>
      </c>
      <c r="G72" s="992"/>
      <c r="H72" s="646"/>
      <c r="N72" s="143"/>
      <c r="O72" s="151"/>
      <c r="P72" s="151"/>
      <c r="Q72" s="151"/>
      <c r="R72" s="151"/>
      <c r="S72" s="151"/>
      <c r="T72" s="151"/>
      <c r="U72" s="151"/>
      <c r="V72" s="151"/>
      <c r="W72" s="151"/>
      <c r="X72" s="151"/>
      <c r="Y72" s="151"/>
      <c r="Z72" s="151"/>
      <c r="AA72" s="151"/>
      <c r="AB72" s="151"/>
      <c r="AC72" s="151"/>
      <c r="AD72" s="152"/>
      <c r="AE72" s="151"/>
      <c r="AF72" s="151"/>
      <c r="AG72" s="151"/>
      <c r="AH72" s="151"/>
      <c r="AI72" s="151"/>
    </row>
    <row r="73" spans="1:35" s="153" customFormat="1" x14ac:dyDescent="0.25">
      <c r="A73" s="1012"/>
      <c r="B73" s="166" t="s">
        <v>35</v>
      </c>
      <c r="C73" s="183">
        <f t="shared" ref="C73:E73" si="49">C57-C65</f>
        <v>0</v>
      </c>
      <c r="D73" s="183">
        <f t="shared" si="49"/>
        <v>0</v>
      </c>
      <c r="E73" s="183">
        <f t="shared" si="49"/>
        <v>0</v>
      </c>
      <c r="F73" s="183">
        <f t="shared" ref="F73" si="50">F57-F65</f>
        <v>0</v>
      </c>
      <c r="G73" s="992"/>
      <c r="H73" s="646"/>
      <c r="N73" s="143"/>
      <c r="O73" s="151"/>
      <c r="P73" s="151"/>
      <c r="Q73" s="151"/>
      <c r="R73" s="151"/>
      <c r="S73" s="151"/>
      <c r="T73" s="151"/>
      <c r="U73" s="151"/>
      <c r="V73" s="151"/>
      <c r="W73" s="151"/>
      <c r="X73" s="151"/>
      <c r="Y73" s="151"/>
      <c r="Z73" s="151"/>
      <c r="AA73" s="151"/>
      <c r="AB73" s="151"/>
      <c r="AC73" s="151"/>
      <c r="AD73" s="152"/>
      <c r="AE73" s="151"/>
      <c r="AF73" s="151"/>
      <c r="AG73" s="151"/>
      <c r="AH73" s="151"/>
      <c r="AI73" s="151"/>
    </row>
    <row r="74" spans="1:35" s="153" customFormat="1" x14ac:dyDescent="0.25">
      <c r="A74" s="1012"/>
      <c r="B74" s="166" t="s">
        <v>36</v>
      </c>
      <c r="C74" s="183">
        <f t="shared" ref="C74:E74" si="51">C58-C66</f>
        <v>0</v>
      </c>
      <c r="D74" s="183">
        <f t="shared" si="51"/>
        <v>0</v>
      </c>
      <c r="E74" s="183">
        <f t="shared" si="51"/>
        <v>0</v>
      </c>
      <c r="F74" s="183">
        <f t="shared" ref="F74" si="52">F58-F66</f>
        <v>0</v>
      </c>
      <c r="G74" s="992"/>
      <c r="H74" s="646"/>
      <c r="N74" s="143"/>
      <c r="O74" s="151"/>
      <c r="P74" s="151"/>
      <c r="Q74" s="151"/>
      <c r="R74" s="151"/>
      <c r="S74" s="151"/>
      <c r="T74" s="151"/>
      <c r="U74" s="151"/>
      <c r="V74" s="151"/>
      <c r="W74" s="151"/>
      <c r="X74" s="151"/>
      <c r="Y74" s="151"/>
      <c r="Z74" s="151"/>
      <c r="AA74" s="151"/>
      <c r="AB74" s="151"/>
      <c r="AC74" s="151"/>
      <c r="AD74" s="152"/>
      <c r="AE74" s="151"/>
      <c r="AF74" s="151"/>
      <c r="AG74" s="151"/>
      <c r="AH74" s="151"/>
      <c r="AI74" s="151"/>
    </row>
    <row r="75" spans="1:35" s="153" customFormat="1" x14ac:dyDescent="0.25">
      <c r="A75" s="1013"/>
      <c r="B75" s="169" t="s">
        <v>107</v>
      </c>
      <c r="C75" s="184" t="e">
        <f>SUM(C69:C74)</f>
        <v>#N/A</v>
      </c>
      <c r="D75" s="184" t="e">
        <f t="shared" ref="D75:E75" si="53">SUM(D69:D74)</f>
        <v>#N/A</v>
      </c>
      <c r="E75" s="184" t="e">
        <f t="shared" si="53"/>
        <v>#N/A</v>
      </c>
      <c r="F75" s="184" t="e">
        <f t="shared" ref="F75" si="54">SUM(F69:F74)</f>
        <v>#N/A</v>
      </c>
      <c r="G75" s="993"/>
      <c r="H75" s="646"/>
      <c r="N75" s="143"/>
      <c r="O75" s="151"/>
      <c r="P75" s="151"/>
      <c r="Q75" s="151"/>
      <c r="R75" s="151"/>
      <c r="S75" s="151"/>
      <c r="T75" s="151"/>
      <c r="U75" s="151"/>
      <c r="V75" s="151"/>
      <c r="W75" s="151"/>
      <c r="X75" s="151"/>
      <c r="Y75" s="151"/>
      <c r="Z75" s="151"/>
      <c r="AA75" s="151"/>
      <c r="AB75" s="151"/>
      <c r="AC75" s="151"/>
      <c r="AD75" s="152"/>
      <c r="AE75" s="151"/>
      <c r="AF75" s="151"/>
      <c r="AG75" s="151"/>
      <c r="AH75" s="151"/>
      <c r="AI75" s="151"/>
    </row>
    <row r="76" spans="1:35" s="153" customFormat="1" x14ac:dyDescent="0.25">
      <c r="A76" s="580"/>
      <c r="B76" s="185" t="s">
        <v>725</v>
      </c>
      <c r="C76" s="165" t="s">
        <v>143</v>
      </c>
      <c r="D76" s="165" t="s">
        <v>143</v>
      </c>
      <c r="E76" s="165" t="s">
        <v>143</v>
      </c>
      <c r="F76" s="165" t="s">
        <v>143</v>
      </c>
      <c r="G76" s="674"/>
      <c r="H76" s="646"/>
      <c r="N76" s="143"/>
      <c r="O76" s="151"/>
      <c r="P76" s="151"/>
      <c r="Q76" s="151"/>
      <c r="R76" s="151"/>
      <c r="S76" s="151"/>
      <c r="T76" s="151"/>
      <c r="U76" s="151"/>
      <c r="V76" s="151"/>
      <c r="W76" s="151"/>
      <c r="X76" s="151"/>
      <c r="Y76" s="151"/>
      <c r="Z76" s="151"/>
      <c r="AA76" s="151"/>
      <c r="AB76" s="151"/>
      <c r="AC76" s="151"/>
      <c r="AD76" s="152"/>
      <c r="AE76" s="151"/>
      <c r="AF76" s="151"/>
      <c r="AG76" s="151"/>
      <c r="AH76" s="151"/>
      <c r="AI76" s="151"/>
    </row>
    <row r="77" spans="1:35" s="153" customFormat="1" x14ac:dyDescent="0.25">
      <c r="A77" s="581"/>
      <c r="B77" s="186" t="s">
        <v>29</v>
      </c>
      <c r="C77" s="183">
        <f>C53*'Baseline data entry'!E$61</f>
        <v>0</v>
      </c>
      <c r="D77" s="183">
        <f>D53*'Scenario data entry'!F$66</f>
        <v>0</v>
      </c>
      <c r="E77" s="183">
        <f>E53*'Scenario data entry'!G$66</f>
        <v>0</v>
      </c>
      <c r="F77" s="183">
        <f>F53*'Scenario data entry'!H$66</f>
        <v>0</v>
      </c>
      <c r="G77" s="992">
        <f>INDEX(Uncertainty_Factors_Table[Value],MATCH('Baseline data entry'!I61,Uncertainty_factors,0))</f>
        <v>0.66</v>
      </c>
      <c r="H77" s="646"/>
      <c r="N77" s="143"/>
      <c r="O77" s="151"/>
      <c r="P77" s="151"/>
      <c r="Q77" s="151"/>
      <c r="R77" s="151"/>
      <c r="S77" s="151"/>
      <c r="T77" s="151"/>
      <c r="U77" s="151"/>
      <c r="V77" s="151"/>
      <c r="W77" s="151"/>
      <c r="X77" s="151"/>
      <c r="Y77" s="151"/>
      <c r="Z77" s="151"/>
      <c r="AA77" s="151"/>
      <c r="AB77" s="151"/>
      <c r="AC77" s="151"/>
      <c r="AD77" s="152"/>
      <c r="AE77" s="151"/>
      <c r="AF77" s="151"/>
      <c r="AG77" s="151"/>
      <c r="AH77" s="151"/>
      <c r="AI77" s="151"/>
    </row>
    <row r="78" spans="1:35" s="153" customFormat="1" x14ac:dyDescent="0.25">
      <c r="A78" s="581"/>
      <c r="B78" s="186" t="s">
        <v>32</v>
      </c>
      <c r="C78" s="183">
        <f>C54*'Baseline data entry'!E$61</f>
        <v>0</v>
      </c>
      <c r="D78" s="183" t="e">
        <f>D54*'Scenario data entry'!F$66</f>
        <v>#N/A</v>
      </c>
      <c r="E78" s="183" t="e">
        <f>E54*'Scenario data entry'!G$66</f>
        <v>#N/A</v>
      </c>
      <c r="F78" s="183" t="e">
        <f>F54*'Scenario data entry'!H$66</f>
        <v>#N/A</v>
      </c>
      <c r="G78" s="992"/>
      <c r="H78" s="646"/>
      <c r="N78" s="143"/>
      <c r="O78" s="151"/>
      <c r="P78" s="151"/>
      <c r="Q78" s="151"/>
      <c r="R78" s="151"/>
      <c r="S78" s="151"/>
      <c r="T78" s="151"/>
      <c r="U78" s="151"/>
      <c r="V78" s="151"/>
      <c r="W78" s="151"/>
      <c r="X78" s="151"/>
      <c r="Y78" s="151"/>
      <c r="Z78" s="151"/>
      <c r="AA78" s="151"/>
      <c r="AB78" s="151"/>
      <c r="AC78" s="151"/>
      <c r="AD78" s="152"/>
      <c r="AE78" s="151"/>
      <c r="AF78" s="151"/>
      <c r="AG78" s="151"/>
      <c r="AH78" s="151"/>
      <c r="AI78" s="151"/>
    </row>
    <row r="79" spans="1:35" s="153" customFormat="1" x14ac:dyDescent="0.25">
      <c r="A79" s="581"/>
      <c r="B79" s="186" t="s">
        <v>33</v>
      </c>
      <c r="C79" s="183">
        <f>C55*'Baseline data entry'!E$61</f>
        <v>0</v>
      </c>
      <c r="D79" s="183">
        <f>D55*'Scenario data entry'!F$66</f>
        <v>0</v>
      </c>
      <c r="E79" s="183">
        <f>E55*'Scenario data entry'!G$66</f>
        <v>0</v>
      </c>
      <c r="F79" s="183">
        <f>F55*'Scenario data entry'!H$66</f>
        <v>0</v>
      </c>
      <c r="G79" s="992"/>
      <c r="H79" s="646"/>
      <c r="N79" s="143"/>
      <c r="O79" s="151"/>
      <c r="P79" s="151"/>
      <c r="Q79" s="151"/>
      <c r="R79" s="151"/>
      <c r="S79" s="151"/>
      <c r="T79" s="151"/>
      <c r="U79" s="151"/>
      <c r="V79" s="151"/>
      <c r="W79" s="151"/>
      <c r="X79" s="151"/>
      <c r="Y79" s="151"/>
      <c r="Z79" s="151"/>
      <c r="AA79" s="151"/>
      <c r="AB79" s="151"/>
      <c r="AC79" s="151"/>
      <c r="AD79" s="152"/>
      <c r="AE79" s="151"/>
      <c r="AF79" s="151"/>
      <c r="AG79" s="151"/>
      <c r="AH79" s="151"/>
      <c r="AI79" s="151"/>
    </row>
    <row r="80" spans="1:35" s="153" customFormat="1" x14ac:dyDescent="0.25">
      <c r="A80" s="581"/>
      <c r="B80" s="186" t="s">
        <v>34</v>
      </c>
      <c r="C80" s="183">
        <f>C56*'Baseline data entry'!E$61</f>
        <v>0</v>
      </c>
      <c r="D80" s="183">
        <f>D56*'Scenario data entry'!F$66</f>
        <v>0</v>
      </c>
      <c r="E80" s="183">
        <f>E56*'Scenario data entry'!G$66</f>
        <v>0</v>
      </c>
      <c r="F80" s="183">
        <f>F56*'Scenario data entry'!H$66</f>
        <v>0</v>
      </c>
      <c r="G80" s="992"/>
      <c r="H80" s="646"/>
      <c r="N80" s="143"/>
      <c r="O80" s="151"/>
      <c r="P80" s="151"/>
      <c r="Q80" s="151"/>
      <c r="R80" s="151"/>
      <c r="S80" s="151"/>
      <c r="T80" s="151"/>
      <c r="U80" s="151"/>
      <c r="V80" s="151"/>
      <c r="W80" s="151"/>
      <c r="X80" s="151"/>
      <c r="Y80" s="151"/>
      <c r="Z80" s="151"/>
      <c r="AA80" s="151"/>
      <c r="AB80" s="151"/>
      <c r="AC80" s="151"/>
      <c r="AD80" s="152"/>
      <c r="AE80" s="151"/>
      <c r="AF80" s="151"/>
      <c r="AG80" s="151"/>
      <c r="AH80" s="151"/>
      <c r="AI80" s="151"/>
    </row>
    <row r="81" spans="1:35" s="153" customFormat="1" x14ac:dyDescent="0.25">
      <c r="A81" s="581"/>
      <c r="B81" s="186" t="s">
        <v>35</v>
      </c>
      <c r="C81" s="183">
        <f>C57*'Baseline data entry'!E$61</f>
        <v>0</v>
      </c>
      <c r="D81" s="183">
        <f>D57*'Scenario data entry'!F$66</f>
        <v>0</v>
      </c>
      <c r="E81" s="183">
        <f>E57*'Scenario data entry'!G$66</f>
        <v>0</v>
      </c>
      <c r="F81" s="183">
        <f>F57*'Scenario data entry'!H$66</f>
        <v>0</v>
      </c>
      <c r="G81" s="992"/>
      <c r="H81" s="646"/>
      <c r="N81" s="143"/>
      <c r="O81" s="151"/>
      <c r="P81" s="151"/>
      <c r="Q81" s="151"/>
      <c r="R81" s="151"/>
      <c r="S81" s="151"/>
      <c r="T81" s="151"/>
      <c r="U81" s="151"/>
      <c r="V81" s="151"/>
      <c r="W81" s="151"/>
      <c r="X81" s="151"/>
      <c r="Y81" s="151"/>
      <c r="Z81" s="151"/>
      <c r="AA81" s="151"/>
      <c r="AB81" s="151"/>
      <c r="AC81" s="151"/>
      <c r="AD81" s="152"/>
      <c r="AE81" s="151"/>
      <c r="AF81" s="151"/>
      <c r="AG81" s="151"/>
      <c r="AH81" s="151"/>
      <c r="AI81" s="151"/>
    </row>
    <row r="82" spans="1:35" s="153" customFormat="1" x14ac:dyDescent="0.25">
      <c r="A82" s="581"/>
      <c r="B82" s="186" t="s">
        <v>36</v>
      </c>
      <c r="C82" s="183">
        <f>C58*'Baseline data entry'!E$61</f>
        <v>0</v>
      </c>
      <c r="D82" s="183">
        <f>D58*'Scenario data entry'!F$66</f>
        <v>0</v>
      </c>
      <c r="E82" s="183">
        <f>E58*'Scenario data entry'!G$66</f>
        <v>0</v>
      </c>
      <c r="F82" s="183">
        <f>F58*'Scenario data entry'!H$66</f>
        <v>0</v>
      </c>
      <c r="G82" s="992"/>
      <c r="H82" s="646"/>
      <c r="N82" s="143"/>
      <c r="O82" s="151"/>
      <c r="P82" s="151"/>
      <c r="Q82" s="151"/>
      <c r="R82" s="151"/>
      <c r="S82" s="151"/>
      <c r="T82" s="151"/>
      <c r="U82" s="151"/>
      <c r="V82" s="151"/>
      <c r="W82" s="151"/>
      <c r="X82" s="151"/>
      <c r="Y82" s="151"/>
      <c r="Z82" s="151"/>
      <c r="AA82" s="151"/>
      <c r="AB82" s="151"/>
      <c r="AC82" s="151"/>
      <c r="AD82" s="152"/>
      <c r="AE82" s="151"/>
      <c r="AF82" s="151"/>
      <c r="AG82" s="151"/>
      <c r="AH82" s="151"/>
      <c r="AI82" s="151"/>
    </row>
    <row r="83" spans="1:35" s="153" customFormat="1" x14ac:dyDescent="0.25">
      <c r="A83" s="582"/>
      <c r="B83" s="187" t="s">
        <v>107</v>
      </c>
      <c r="C83" s="184">
        <f>SUM(C77:C82)</f>
        <v>0</v>
      </c>
      <c r="D83" s="184" t="e">
        <f t="shared" ref="D83:E83" si="55">SUM(D77:D82)</f>
        <v>#N/A</v>
      </c>
      <c r="E83" s="184" t="e">
        <f t="shared" si="55"/>
        <v>#N/A</v>
      </c>
      <c r="F83" s="184" t="e">
        <f t="shared" ref="F83" si="56">SUM(F77:F82)</f>
        <v>#N/A</v>
      </c>
      <c r="G83" s="993"/>
      <c r="H83" s="646"/>
      <c r="N83" s="143"/>
      <c r="O83" s="151"/>
      <c r="P83" s="151"/>
      <c r="Q83" s="151"/>
      <c r="R83" s="151"/>
      <c r="S83" s="151"/>
      <c r="T83" s="151"/>
      <c r="U83" s="151"/>
      <c r="V83" s="151"/>
      <c r="W83" s="151"/>
      <c r="X83" s="151"/>
      <c r="Y83" s="151"/>
      <c r="Z83" s="151"/>
      <c r="AA83" s="151"/>
      <c r="AB83" s="151"/>
      <c r="AC83" s="151"/>
      <c r="AD83" s="152"/>
      <c r="AE83" s="151"/>
      <c r="AF83" s="151"/>
      <c r="AG83" s="151"/>
      <c r="AH83" s="151"/>
      <c r="AI83" s="151"/>
    </row>
    <row r="84" spans="1:35" s="153" customFormat="1" ht="18.75" x14ac:dyDescent="0.3">
      <c r="A84" s="180" t="s">
        <v>147</v>
      </c>
      <c r="B84" s="181"/>
      <c r="C84" s="182"/>
      <c r="D84" s="182"/>
      <c r="E84" s="182"/>
      <c r="F84" s="182"/>
      <c r="G84" s="673"/>
      <c r="H84" s="646"/>
      <c r="N84" s="143"/>
      <c r="O84" s="151"/>
      <c r="P84" s="151"/>
      <c r="Q84" s="151"/>
      <c r="R84" s="151"/>
      <c r="S84" s="151"/>
      <c r="T84" s="151"/>
      <c r="U84" s="151"/>
      <c r="V84" s="151"/>
      <c r="W84" s="151"/>
      <c r="X84" s="151"/>
      <c r="Y84" s="151"/>
      <c r="Z84" s="151"/>
      <c r="AA84" s="151"/>
      <c r="AB84" s="151"/>
      <c r="AC84" s="151"/>
      <c r="AD84" s="152"/>
      <c r="AE84" s="151"/>
      <c r="AF84" s="151"/>
      <c r="AG84" s="151"/>
      <c r="AH84" s="151"/>
      <c r="AI84" s="151"/>
    </row>
    <row r="85" spans="1:35" s="153" customFormat="1" x14ac:dyDescent="0.25">
      <c r="A85" s="989" t="s">
        <v>148</v>
      </c>
      <c r="B85" s="164" t="s">
        <v>728</v>
      </c>
      <c r="C85" s="165" t="s">
        <v>143</v>
      </c>
      <c r="D85" s="165" t="s">
        <v>143</v>
      </c>
      <c r="E85" s="165" t="s">
        <v>143</v>
      </c>
      <c r="F85" s="165" t="s">
        <v>143</v>
      </c>
      <c r="G85" s="675"/>
      <c r="H85" s="646"/>
      <c r="N85" s="143"/>
      <c r="O85" s="151"/>
      <c r="P85" s="151"/>
      <c r="Q85" s="151"/>
      <c r="R85" s="151"/>
      <c r="S85" s="151"/>
      <c r="T85" s="151"/>
      <c r="U85" s="151"/>
      <c r="V85" s="151"/>
      <c r="W85" s="151"/>
      <c r="X85" s="151"/>
      <c r="Y85" s="151"/>
      <c r="Z85" s="151"/>
      <c r="AA85" s="151"/>
      <c r="AB85" s="151"/>
      <c r="AC85" s="151"/>
      <c r="AD85" s="152"/>
      <c r="AE85" s="151"/>
      <c r="AF85" s="151"/>
      <c r="AG85" s="151"/>
      <c r="AH85" s="151"/>
      <c r="AI85" s="151"/>
    </row>
    <row r="86" spans="1:35" s="153" customFormat="1" x14ac:dyDescent="0.25">
      <c r="A86" s="990"/>
      <c r="B86" s="177" t="s">
        <v>29</v>
      </c>
      <c r="C86" s="183">
        <f t="shared" ref="C86:C91" si="57">C53/(1-C12)</f>
        <v>0</v>
      </c>
      <c r="D86" s="183">
        <f>D184-D167-D200</f>
        <v>0</v>
      </c>
      <c r="E86" s="183">
        <f t="shared" ref="D86:F91" si="58">E184-E167-E200</f>
        <v>0</v>
      </c>
      <c r="F86" s="183">
        <f t="shared" si="58"/>
        <v>0</v>
      </c>
      <c r="G86" s="992" t="e">
        <f>((C59/(C59+C100))*G53)+((C100/(C59+C100))*G94)</f>
        <v>#N/A</v>
      </c>
      <c r="H86" s="646"/>
      <c r="N86" s="143"/>
      <c r="O86" s="151"/>
      <c r="P86" s="151"/>
      <c r="Q86" s="151"/>
      <c r="R86" s="151"/>
      <c r="S86" s="151"/>
      <c r="T86" s="151"/>
      <c r="U86" s="151"/>
      <c r="V86" s="151"/>
      <c r="W86" s="151"/>
      <c r="X86" s="151"/>
      <c r="Y86" s="151"/>
      <c r="Z86" s="151"/>
      <c r="AA86" s="151"/>
      <c r="AB86" s="151"/>
      <c r="AC86" s="151"/>
      <c r="AD86" s="152"/>
      <c r="AE86" s="151"/>
      <c r="AF86" s="151"/>
      <c r="AG86" s="151"/>
      <c r="AH86" s="151"/>
      <c r="AI86" s="151"/>
    </row>
    <row r="87" spans="1:35" s="153" customFormat="1" x14ac:dyDescent="0.25">
      <c r="A87" s="990"/>
      <c r="B87" s="166" t="s">
        <v>32</v>
      </c>
      <c r="C87" s="183" t="e">
        <f t="shared" si="57"/>
        <v>#N/A</v>
      </c>
      <c r="D87" s="183" t="e">
        <f t="shared" si="58"/>
        <v>#N/A</v>
      </c>
      <c r="E87" s="183" t="e">
        <f t="shared" si="58"/>
        <v>#N/A</v>
      </c>
      <c r="F87" s="183" t="e">
        <f t="shared" si="58"/>
        <v>#N/A</v>
      </c>
      <c r="G87" s="992"/>
      <c r="H87" s="646"/>
      <c r="I87" s="154"/>
      <c r="J87" s="154"/>
      <c r="N87" s="143"/>
      <c r="O87" s="151"/>
      <c r="P87" s="151"/>
      <c r="Q87" s="151"/>
      <c r="R87" s="151"/>
      <c r="S87" s="151"/>
      <c r="T87" s="151"/>
      <c r="U87" s="151"/>
      <c r="V87" s="151"/>
      <c r="W87" s="151"/>
      <c r="X87" s="151"/>
      <c r="Y87" s="151"/>
      <c r="Z87" s="151"/>
      <c r="AA87" s="151"/>
      <c r="AB87" s="151"/>
      <c r="AC87" s="151"/>
      <c r="AD87" s="152"/>
      <c r="AE87" s="151"/>
      <c r="AF87" s="151"/>
      <c r="AG87" s="151"/>
      <c r="AH87" s="151"/>
      <c r="AI87" s="151"/>
    </row>
    <row r="88" spans="1:35" s="153" customFormat="1" x14ac:dyDescent="0.25">
      <c r="A88" s="990"/>
      <c r="B88" s="177" t="s">
        <v>33</v>
      </c>
      <c r="C88" s="183">
        <f t="shared" si="57"/>
        <v>0</v>
      </c>
      <c r="D88" s="183">
        <f t="shared" si="58"/>
        <v>0</v>
      </c>
      <c r="E88" s="183">
        <f t="shared" si="58"/>
        <v>0</v>
      </c>
      <c r="F88" s="183">
        <f t="shared" si="58"/>
        <v>0</v>
      </c>
      <c r="G88" s="992"/>
      <c r="H88" s="646"/>
      <c r="I88" s="154"/>
      <c r="J88" s="154"/>
      <c r="N88" s="143"/>
      <c r="O88" s="151"/>
      <c r="P88" s="151"/>
      <c r="Q88" s="151"/>
      <c r="R88" s="151"/>
      <c r="S88" s="151"/>
      <c r="T88" s="151"/>
      <c r="U88" s="151"/>
      <c r="V88" s="151"/>
      <c r="W88" s="151"/>
      <c r="X88" s="151"/>
      <c r="Y88" s="151"/>
      <c r="Z88" s="151"/>
      <c r="AA88" s="151"/>
      <c r="AB88" s="151"/>
      <c r="AC88" s="151"/>
      <c r="AD88" s="152"/>
      <c r="AE88" s="151"/>
      <c r="AF88" s="151"/>
      <c r="AG88" s="151"/>
      <c r="AH88" s="151"/>
      <c r="AI88" s="151"/>
    </row>
    <row r="89" spans="1:35" s="153" customFormat="1" x14ac:dyDescent="0.25">
      <c r="A89" s="990"/>
      <c r="B89" s="177" t="s">
        <v>34</v>
      </c>
      <c r="C89" s="183">
        <f t="shared" si="57"/>
        <v>0</v>
      </c>
      <c r="D89" s="183">
        <f t="shared" si="58"/>
        <v>0</v>
      </c>
      <c r="E89" s="183">
        <f t="shared" si="58"/>
        <v>0</v>
      </c>
      <c r="F89" s="183">
        <f t="shared" si="58"/>
        <v>0</v>
      </c>
      <c r="G89" s="992"/>
      <c r="H89" s="646"/>
      <c r="I89" s="154"/>
      <c r="J89" s="154"/>
      <c r="N89" s="143"/>
      <c r="O89" s="151"/>
      <c r="P89" s="151"/>
      <c r="Q89" s="151"/>
      <c r="R89" s="151"/>
      <c r="S89" s="151"/>
      <c r="T89" s="151"/>
      <c r="U89" s="151"/>
      <c r="V89" s="151"/>
      <c r="W89" s="151"/>
      <c r="X89" s="151"/>
      <c r="Y89" s="151"/>
      <c r="Z89" s="151"/>
      <c r="AA89" s="151"/>
      <c r="AB89" s="151"/>
      <c r="AC89" s="151"/>
      <c r="AD89" s="152"/>
      <c r="AE89" s="151"/>
      <c r="AF89" s="151"/>
      <c r="AG89" s="151"/>
      <c r="AH89" s="151"/>
      <c r="AI89" s="151"/>
    </row>
    <row r="90" spans="1:35" s="153" customFormat="1" x14ac:dyDescent="0.25">
      <c r="A90" s="990"/>
      <c r="B90" s="177" t="s">
        <v>35</v>
      </c>
      <c r="C90" s="183">
        <f t="shared" si="57"/>
        <v>0</v>
      </c>
      <c r="D90" s="183">
        <f t="shared" si="58"/>
        <v>0</v>
      </c>
      <c r="E90" s="183">
        <f t="shared" si="58"/>
        <v>0</v>
      </c>
      <c r="F90" s="183">
        <f t="shared" si="58"/>
        <v>0</v>
      </c>
      <c r="G90" s="992"/>
      <c r="H90" s="646"/>
      <c r="I90" s="154"/>
      <c r="J90" s="154"/>
      <c r="N90" s="143"/>
      <c r="O90" s="151"/>
      <c r="P90" s="151"/>
      <c r="Q90" s="151"/>
      <c r="R90" s="151"/>
      <c r="S90" s="151"/>
      <c r="T90" s="151"/>
      <c r="U90" s="151"/>
      <c r="V90" s="151"/>
      <c r="W90" s="151"/>
      <c r="X90" s="151"/>
      <c r="Y90" s="151"/>
      <c r="Z90" s="151"/>
      <c r="AA90" s="151"/>
      <c r="AB90" s="151"/>
      <c r="AC90" s="151"/>
      <c r="AD90" s="152"/>
      <c r="AE90" s="151"/>
      <c r="AF90" s="151"/>
      <c r="AG90" s="151"/>
      <c r="AH90" s="151"/>
      <c r="AI90" s="151"/>
    </row>
    <row r="91" spans="1:35" s="153" customFormat="1" x14ac:dyDescent="0.25">
      <c r="A91" s="990"/>
      <c r="B91" s="177" t="s">
        <v>36</v>
      </c>
      <c r="C91" s="183">
        <f t="shared" si="57"/>
        <v>0</v>
      </c>
      <c r="D91" s="183">
        <f t="shared" si="58"/>
        <v>0</v>
      </c>
      <c r="E91" s="183">
        <f t="shared" si="58"/>
        <v>0</v>
      </c>
      <c r="F91" s="183">
        <f t="shared" si="58"/>
        <v>0</v>
      </c>
      <c r="G91" s="992"/>
      <c r="H91" s="646"/>
      <c r="I91" s="154"/>
      <c r="J91" s="154"/>
      <c r="N91" s="143"/>
      <c r="O91" s="151"/>
      <c r="P91" s="151"/>
      <c r="Q91" s="151"/>
      <c r="R91" s="151"/>
      <c r="S91" s="151"/>
      <c r="T91" s="151"/>
      <c r="U91" s="151"/>
      <c r="V91" s="151"/>
      <c r="W91" s="151"/>
      <c r="X91" s="151"/>
      <c r="Y91" s="151"/>
      <c r="Z91" s="151"/>
      <c r="AA91" s="151"/>
      <c r="AB91" s="151"/>
      <c r="AC91" s="151"/>
      <c r="AD91" s="152"/>
      <c r="AE91" s="151"/>
      <c r="AF91" s="151"/>
      <c r="AG91" s="151"/>
      <c r="AH91" s="151"/>
      <c r="AI91" s="151"/>
    </row>
    <row r="92" spans="1:35" s="153" customFormat="1" x14ac:dyDescent="0.25">
      <c r="A92" s="991"/>
      <c r="B92" s="169" t="s">
        <v>107</v>
      </c>
      <c r="C92" s="184" t="e">
        <f>SUM(C86:C91)</f>
        <v>#N/A</v>
      </c>
      <c r="D92" s="184" t="e">
        <f t="shared" ref="D92:E92" si="59">SUM(D86:D91)</f>
        <v>#N/A</v>
      </c>
      <c r="E92" s="184" t="e">
        <f t="shared" si="59"/>
        <v>#N/A</v>
      </c>
      <c r="F92" s="184" t="e">
        <f t="shared" ref="F92" si="60">SUM(F86:F91)</f>
        <v>#N/A</v>
      </c>
      <c r="G92" s="993"/>
      <c r="H92" s="646"/>
      <c r="I92" s="154"/>
      <c r="J92" s="154"/>
      <c r="N92" s="143"/>
      <c r="O92" s="151"/>
      <c r="P92" s="151"/>
      <c r="Q92" s="151"/>
      <c r="R92" s="151"/>
      <c r="S92" s="151"/>
      <c r="T92" s="151"/>
      <c r="U92" s="151"/>
      <c r="V92" s="151"/>
      <c r="W92" s="151"/>
      <c r="X92" s="151"/>
      <c r="Y92" s="151"/>
      <c r="Z92" s="151"/>
      <c r="AA92" s="151"/>
      <c r="AB92" s="151"/>
      <c r="AC92" s="151"/>
      <c r="AD92" s="152"/>
      <c r="AE92" s="151"/>
      <c r="AF92" s="151"/>
      <c r="AG92" s="151"/>
      <c r="AH92" s="151"/>
      <c r="AI92" s="151"/>
    </row>
    <row r="93" spans="1:35" s="153" customFormat="1" x14ac:dyDescent="0.25">
      <c r="A93" s="989" t="s">
        <v>125</v>
      </c>
      <c r="B93" s="164" t="s">
        <v>317</v>
      </c>
      <c r="C93" s="165" t="s">
        <v>143</v>
      </c>
      <c r="D93" s="165" t="s">
        <v>143</v>
      </c>
      <c r="E93" s="165" t="s">
        <v>143</v>
      </c>
      <c r="F93" s="165" t="s">
        <v>143</v>
      </c>
      <c r="G93" s="675"/>
      <c r="H93" s="646"/>
      <c r="I93" s="154"/>
      <c r="J93" s="154"/>
      <c r="N93" s="143"/>
      <c r="O93" s="151"/>
      <c r="P93" s="151"/>
      <c r="Q93" s="151"/>
      <c r="R93" s="151"/>
      <c r="S93" s="151"/>
      <c r="T93" s="151"/>
      <c r="U93" s="151"/>
      <c r="V93" s="151"/>
      <c r="W93" s="151"/>
      <c r="X93" s="151"/>
      <c r="Y93" s="151"/>
      <c r="Z93" s="151"/>
      <c r="AA93" s="151"/>
      <c r="AB93" s="151"/>
      <c r="AC93" s="151"/>
      <c r="AD93" s="152"/>
      <c r="AE93" s="151"/>
      <c r="AF93" s="151"/>
      <c r="AG93" s="151"/>
      <c r="AH93" s="151"/>
      <c r="AI93" s="151"/>
    </row>
    <row r="94" spans="1:35" s="153" customFormat="1" x14ac:dyDescent="0.25">
      <c r="A94" s="990"/>
      <c r="B94" s="177" t="s">
        <v>29</v>
      </c>
      <c r="C94" s="188">
        <f t="shared" ref="C94:F99" si="61">C86*C12</f>
        <v>0</v>
      </c>
      <c r="D94" s="188">
        <f t="shared" si="61"/>
        <v>0</v>
      </c>
      <c r="E94" s="188">
        <f t="shared" si="61"/>
        <v>0</v>
      </c>
      <c r="F94" s="188">
        <f t="shared" si="61"/>
        <v>0</v>
      </c>
      <c r="G94" s="992">
        <f>INDEX(Uncertainty_Factors_Table[Value],MATCH('Baseline data entry'!I74,Uncertainty_factors,0))</f>
        <v>0.66</v>
      </c>
      <c r="H94" s="646"/>
      <c r="I94" s="154"/>
      <c r="J94" s="154"/>
      <c r="N94" s="143"/>
      <c r="O94" s="151"/>
      <c r="P94" s="151"/>
      <c r="Q94" s="151"/>
      <c r="R94" s="151"/>
      <c r="S94" s="151"/>
      <c r="T94" s="151"/>
      <c r="U94" s="151"/>
      <c r="V94" s="151"/>
      <c r="W94" s="151"/>
      <c r="X94" s="151"/>
      <c r="Y94" s="151"/>
      <c r="Z94" s="151"/>
      <c r="AA94" s="151"/>
      <c r="AB94" s="151"/>
      <c r="AC94" s="151"/>
      <c r="AD94" s="152"/>
      <c r="AE94" s="151"/>
      <c r="AF94" s="151"/>
      <c r="AG94" s="151"/>
      <c r="AH94" s="151"/>
      <c r="AI94" s="151"/>
    </row>
    <row r="95" spans="1:35" s="153" customFormat="1" x14ac:dyDescent="0.25">
      <c r="A95" s="990"/>
      <c r="B95" s="166" t="s">
        <v>32</v>
      </c>
      <c r="C95" s="189" t="e">
        <f t="shared" si="61"/>
        <v>#N/A</v>
      </c>
      <c r="D95" s="189" t="e">
        <f t="shared" si="61"/>
        <v>#N/A</v>
      </c>
      <c r="E95" s="189" t="e">
        <f t="shared" si="61"/>
        <v>#N/A</v>
      </c>
      <c r="F95" s="189" t="e">
        <f t="shared" si="61"/>
        <v>#N/A</v>
      </c>
      <c r="G95" s="992"/>
      <c r="H95" s="646"/>
      <c r="I95" s="154"/>
      <c r="J95" s="154"/>
      <c r="N95" s="143"/>
      <c r="O95" s="151"/>
      <c r="P95" s="151"/>
      <c r="Q95" s="151"/>
      <c r="R95" s="151"/>
      <c r="S95" s="151"/>
      <c r="T95" s="151"/>
      <c r="U95" s="151"/>
      <c r="V95" s="151"/>
      <c r="W95" s="151"/>
      <c r="X95" s="151"/>
      <c r="Y95" s="151"/>
      <c r="Z95" s="151"/>
      <c r="AA95" s="151"/>
      <c r="AB95" s="151"/>
      <c r="AC95" s="151"/>
      <c r="AD95" s="152"/>
      <c r="AE95" s="151"/>
      <c r="AF95" s="151"/>
      <c r="AG95" s="151"/>
      <c r="AH95" s="151"/>
      <c r="AI95" s="151"/>
    </row>
    <row r="96" spans="1:35" s="153" customFormat="1" x14ac:dyDescent="0.25">
      <c r="A96" s="990"/>
      <c r="B96" s="177" t="s">
        <v>33</v>
      </c>
      <c r="C96" s="188">
        <f t="shared" si="61"/>
        <v>0</v>
      </c>
      <c r="D96" s="188">
        <f t="shared" si="61"/>
        <v>0</v>
      </c>
      <c r="E96" s="188">
        <f t="shared" si="61"/>
        <v>0</v>
      </c>
      <c r="F96" s="188">
        <f t="shared" si="61"/>
        <v>0</v>
      </c>
      <c r="G96" s="992"/>
      <c r="H96" s="646"/>
      <c r="I96" s="154"/>
      <c r="J96" s="154"/>
      <c r="N96" s="143"/>
      <c r="O96" s="151"/>
      <c r="P96" s="151"/>
      <c r="Q96" s="151"/>
      <c r="R96" s="151"/>
      <c r="S96" s="151"/>
      <c r="T96" s="151"/>
      <c r="U96" s="151"/>
      <c r="V96" s="151"/>
      <c r="W96" s="151"/>
      <c r="X96" s="151"/>
      <c r="Y96" s="151"/>
      <c r="Z96" s="151"/>
      <c r="AA96" s="151"/>
      <c r="AB96" s="151"/>
      <c r="AC96" s="151"/>
      <c r="AD96" s="152"/>
      <c r="AE96" s="151"/>
      <c r="AF96" s="151"/>
      <c r="AG96" s="151"/>
      <c r="AH96" s="151"/>
      <c r="AI96" s="151"/>
    </row>
    <row r="97" spans="1:35" s="153" customFormat="1" x14ac:dyDescent="0.25">
      <c r="A97" s="990"/>
      <c r="B97" s="177" t="s">
        <v>34</v>
      </c>
      <c r="C97" s="188">
        <f t="shared" si="61"/>
        <v>0</v>
      </c>
      <c r="D97" s="188">
        <f t="shared" si="61"/>
        <v>0</v>
      </c>
      <c r="E97" s="188">
        <f t="shared" si="61"/>
        <v>0</v>
      </c>
      <c r="F97" s="188">
        <f t="shared" si="61"/>
        <v>0</v>
      </c>
      <c r="G97" s="992"/>
      <c r="H97" s="646"/>
      <c r="I97" s="154"/>
      <c r="J97" s="154"/>
      <c r="N97" s="143"/>
      <c r="O97" s="151"/>
      <c r="P97" s="151"/>
      <c r="Q97" s="151"/>
      <c r="R97" s="151"/>
      <c r="S97" s="151"/>
      <c r="T97" s="151"/>
      <c r="U97" s="151"/>
      <c r="V97" s="151"/>
      <c r="W97" s="151"/>
      <c r="X97" s="151"/>
      <c r="Y97" s="151"/>
      <c r="Z97" s="151"/>
      <c r="AA97" s="151"/>
      <c r="AB97" s="151"/>
      <c r="AC97" s="151"/>
      <c r="AD97" s="152"/>
      <c r="AE97" s="151"/>
      <c r="AF97" s="151"/>
      <c r="AG97" s="151"/>
      <c r="AH97" s="151"/>
      <c r="AI97" s="151"/>
    </row>
    <row r="98" spans="1:35" s="153" customFormat="1" x14ac:dyDescent="0.25">
      <c r="A98" s="990"/>
      <c r="B98" s="177" t="s">
        <v>35</v>
      </c>
      <c r="C98" s="188">
        <f t="shared" si="61"/>
        <v>0</v>
      </c>
      <c r="D98" s="188">
        <f t="shared" si="61"/>
        <v>0</v>
      </c>
      <c r="E98" s="188">
        <f t="shared" si="61"/>
        <v>0</v>
      </c>
      <c r="F98" s="188">
        <f t="shared" si="61"/>
        <v>0</v>
      </c>
      <c r="G98" s="992"/>
      <c r="H98" s="646"/>
      <c r="I98" s="154"/>
      <c r="J98" s="154"/>
      <c r="N98" s="143"/>
      <c r="O98" s="151"/>
      <c r="P98" s="151"/>
      <c r="Q98" s="151"/>
      <c r="R98" s="151"/>
      <c r="S98" s="151"/>
      <c r="T98" s="151"/>
      <c r="U98" s="151"/>
      <c r="V98" s="151"/>
      <c r="W98" s="151"/>
      <c r="X98" s="151"/>
      <c r="Y98" s="151"/>
      <c r="Z98" s="151"/>
      <c r="AA98" s="151"/>
      <c r="AB98" s="151"/>
      <c r="AC98" s="151"/>
      <c r="AD98" s="152"/>
      <c r="AE98" s="151"/>
      <c r="AF98" s="151"/>
      <c r="AG98" s="151"/>
      <c r="AH98" s="151"/>
      <c r="AI98" s="151"/>
    </row>
    <row r="99" spans="1:35" s="153" customFormat="1" x14ac:dyDescent="0.25">
      <c r="A99" s="990"/>
      <c r="B99" s="177" t="s">
        <v>36</v>
      </c>
      <c r="C99" s="188">
        <f t="shared" si="61"/>
        <v>0</v>
      </c>
      <c r="D99" s="188">
        <f t="shared" si="61"/>
        <v>0</v>
      </c>
      <c r="E99" s="188">
        <f t="shared" si="61"/>
        <v>0</v>
      </c>
      <c r="F99" s="188">
        <f t="shared" si="61"/>
        <v>0</v>
      </c>
      <c r="G99" s="992"/>
      <c r="H99" s="646"/>
      <c r="I99" s="154"/>
      <c r="J99" s="154"/>
      <c r="N99" s="143"/>
      <c r="O99" s="151"/>
      <c r="P99" s="151"/>
      <c r="Q99" s="151"/>
      <c r="R99" s="151"/>
      <c r="S99" s="151"/>
      <c r="T99" s="151"/>
      <c r="U99" s="151"/>
      <c r="V99" s="151"/>
      <c r="W99" s="151"/>
      <c r="X99" s="151"/>
      <c r="Y99" s="151"/>
      <c r="Z99" s="151"/>
      <c r="AA99" s="151"/>
      <c r="AB99" s="151"/>
      <c r="AC99" s="151"/>
      <c r="AD99" s="152"/>
      <c r="AE99" s="151"/>
      <c r="AF99" s="151"/>
      <c r="AG99" s="151"/>
      <c r="AH99" s="151"/>
      <c r="AI99" s="151"/>
    </row>
    <row r="100" spans="1:35" s="153" customFormat="1" x14ac:dyDescent="0.25">
      <c r="A100" s="991"/>
      <c r="B100" s="169" t="s">
        <v>107</v>
      </c>
      <c r="C100" s="184" t="e">
        <f>SUM(C94:C99)</f>
        <v>#N/A</v>
      </c>
      <c r="D100" s="184" t="e">
        <f t="shared" ref="D100:E100" si="62">SUM(D94:D99)</f>
        <v>#N/A</v>
      </c>
      <c r="E100" s="184" t="e">
        <f t="shared" si="62"/>
        <v>#N/A</v>
      </c>
      <c r="F100" s="184" t="e">
        <f t="shared" ref="F100" si="63">SUM(F94:F99)</f>
        <v>#N/A</v>
      </c>
      <c r="G100" s="993"/>
      <c r="H100" s="648"/>
      <c r="I100" s="154"/>
      <c r="J100" s="154"/>
      <c r="N100" s="143"/>
      <c r="O100" s="151"/>
      <c r="P100" s="151"/>
      <c r="Q100" s="151"/>
      <c r="R100" s="151"/>
      <c r="S100" s="151"/>
      <c r="T100" s="151"/>
      <c r="U100" s="151"/>
      <c r="V100" s="151"/>
      <c r="W100" s="151"/>
      <c r="X100" s="151"/>
      <c r="Y100" s="151"/>
      <c r="Z100" s="151"/>
      <c r="AA100" s="151"/>
      <c r="AB100" s="151"/>
      <c r="AC100" s="151"/>
      <c r="AD100" s="152"/>
      <c r="AE100" s="151"/>
      <c r="AF100" s="151"/>
      <c r="AG100" s="151"/>
      <c r="AH100" s="151"/>
      <c r="AI100" s="151"/>
    </row>
    <row r="101" spans="1:35" s="153" customFormat="1" ht="18.75" x14ac:dyDescent="0.3">
      <c r="A101" s="180" t="s">
        <v>149</v>
      </c>
      <c r="B101" s="181"/>
      <c r="C101" s="182"/>
      <c r="D101" s="182"/>
      <c r="E101" s="182"/>
      <c r="F101" s="182"/>
      <c r="G101" s="673"/>
      <c r="H101" s="646"/>
      <c r="I101" s="154"/>
      <c r="J101" s="154"/>
      <c r="N101" s="143"/>
      <c r="O101" s="151"/>
      <c r="P101" s="151"/>
      <c r="Q101" s="151"/>
      <c r="R101" s="151"/>
      <c r="S101" s="151"/>
      <c r="T101" s="151"/>
      <c r="U101" s="151"/>
      <c r="V101" s="151"/>
      <c r="W101" s="151"/>
      <c r="X101" s="151"/>
      <c r="Y101" s="151"/>
      <c r="Z101" s="151"/>
      <c r="AA101" s="151"/>
      <c r="AB101" s="151"/>
      <c r="AC101" s="151"/>
      <c r="AD101" s="152"/>
      <c r="AE101" s="151"/>
      <c r="AF101" s="151"/>
      <c r="AG101" s="151"/>
      <c r="AH101" s="151"/>
      <c r="AI101" s="151"/>
    </row>
    <row r="102" spans="1:35" s="153" customFormat="1" x14ac:dyDescent="0.25">
      <c r="A102" s="989" t="s">
        <v>150</v>
      </c>
      <c r="B102" s="171" t="s">
        <v>151</v>
      </c>
      <c r="C102" s="165" t="s">
        <v>143</v>
      </c>
      <c r="D102" s="165" t="s">
        <v>143</v>
      </c>
      <c r="E102" s="165" t="s">
        <v>143</v>
      </c>
      <c r="F102" s="165" t="s">
        <v>143</v>
      </c>
      <c r="G102" s="672"/>
      <c r="H102" s="646"/>
      <c r="I102" s="154"/>
      <c r="J102" s="154"/>
      <c r="N102" s="143"/>
      <c r="O102" s="151"/>
      <c r="P102" s="151"/>
      <c r="Q102" s="151"/>
      <c r="R102" s="151"/>
      <c r="S102" s="151"/>
      <c r="T102" s="151"/>
      <c r="U102" s="151"/>
      <c r="V102" s="151"/>
      <c r="W102" s="151"/>
      <c r="X102" s="151"/>
      <c r="Y102" s="151"/>
      <c r="Z102" s="151"/>
      <c r="AA102" s="151"/>
      <c r="AB102" s="151"/>
      <c r="AC102" s="151"/>
      <c r="AD102" s="152"/>
      <c r="AE102" s="151"/>
      <c r="AF102" s="151"/>
      <c r="AG102" s="151"/>
      <c r="AH102" s="151"/>
      <c r="AI102" s="151"/>
    </row>
    <row r="103" spans="1:35" s="153" customFormat="1" x14ac:dyDescent="0.25">
      <c r="A103" s="990"/>
      <c r="B103" s="166" t="s">
        <v>29</v>
      </c>
      <c r="C103" s="183">
        <f>'Baseline data entry'!E29*365</f>
        <v>0</v>
      </c>
      <c r="D103" s="717">
        <f>(D184*'Scenario data entry'!F30)*IF('Scenario data entry'!F30+'Scenario data entry'!F36=0,0,1)</f>
        <v>0</v>
      </c>
      <c r="E103" s="717">
        <f>(E184*'Scenario data entry'!G30)*IF('Scenario data entry'!G30+'Scenario data entry'!G36=0,0,1)</f>
        <v>0</v>
      </c>
      <c r="F103" s="717">
        <f>(F184*'Scenario data entry'!H30)*IF('Scenario data entry'!H30+'Scenario data entry'!H36=0,0,1)</f>
        <v>0</v>
      </c>
      <c r="G103" s="994" t="e">
        <f>INDEX(Uncertainty_Factors_Table[Value],MATCH('Baseline data entry'!I29,Uncertainty_factors,0))</f>
        <v>#N/A</v>
      </c>
      <c r="H103" s="646"/>
      <c r="I103" s="154"/>
      <c r="J103" s="154"/>
      <c r="N103" s="143"/>
      <c r="O103" s="151"/>
      <c r="P103" s="151"/>
      <c r="Q103" s="151"/>
      <c r="R103" s="151"/>
      <c r="S103" s="151"/>
      <c r="T103" s="151"/>
      <c r="U103" s="151"/>
      <c r="V103" s="151"/>
      <c r="W103" s="151"/>
      <c r="X103" s="151"/>
      <c r="Y103" s="151"/>
      <c r="Z103" s="151"/>
      <c r="AA103" s="151"/>
      <c r="AB103" s="151"/>
      <c r="AC103" s="151"/>
      <c r="AD103" s="152"/>
      <c r="AE103" s="151"/>
      <c r="AF103" s="151"/>
      <c r="AG103" s="151"/>
      <c r="AH103" s="151"/>
      <c r="AI103" s="151"/>
    </row>
    <row r="104" spans="1:35" s="153" customFormat="1" x14ac:dyDescent="0.25">
      <c r="A104" s="990"/>
      <c r="B104" s="166" t="s">
        <v>32</v>
      </c>
      <c r="C104" s="183">
        <f>'Baseline data entry'!E30*365</f>
        <v>0</v>
      </c>
      <c r="D104" s="717">
        <f>(D185*'Scenario data entry'!F31)*IF('Scenario data entry'!F31+'Scenario data entry'!F37=0,0,1)</f>
        <v>0</v>
      </c>
      <c r="E104" s="717">
        <f>(E185*'Scenario data entry'!G31)*IF('Scenario data entry'!G31+'Scenario data entry'!G37=0,0,1)</f>
        <v>0</v>
      </c>
      <c r="F104" s="717">
        <f>(F185*'Scenario data entry'!H31)*IF('Scenario data entry'!H31+'Scenario data entry'!H37=0,0,1)</f>
        <v>0</v>
      </c>
      <c r="G104" s="994"/>
      <c r="H104" s="646"/>
      <c r="I104" s="154"/>
      <c r="J104" s="154"/>
      <c r="N104" s="143"/>
      <c r="O104" s="151"/>
      <c r="P104" s="151"/>
      <c r="Q104" s="151"/>
      <c r="R104" s="151"/>
      <c r="S104" s="151"/>
      <c r="T104" s="151"/>
      <c r="U104" s="151"/>
      <c r="V104" s="151"/>
      <c r="W104" s="151"/>
      <c r="X104" s="151"/>
      <c r="Y104" s="151"/>
      <c r="Z104" s="151"/>
      <c r="AA104" s="151"/>
      <c r="AB104" s="151"/>
      <c r="AC104" s="151"/>
      <c r="AD104" s="152"/>
      <c r="AE104" s="151"/>
      <c r="AF104" s="151"/>
      <c r="AG104" s="151"/>
      <c r="AH104" s="151"/>
      <c r="AI104" s="151"/>
    </row>
    <row r="105" spans="1:35" s="153" customFormat="1" x14ac:dyDescent="0.25">
      <c r="A105" s="990"/>
      <c r="B105" s="166" t="s">
        <v>33</v>
      </c>
      <c r="C105" s="183">
        <f>'Baseline data entry'!E31*365</f>
        <v>0</v>
      </c>
      <c r="D105" s="717">
        <f>(D186*'Scenario data entry'!F32)*IF('Scenario data entry'!F32+'Scenario data entry'!F38=0,0,1)</f>
        <v>0</v>
      </c>
      <c r="E105" s="717">
        <f>(E186*'Scenario data entry'!G32)*IF('Scenario data entry'!G32+'Scenario data entry'!G38=0,0,1)</f>
        <v>0</v>
      </c>
      <c r="F105" s="717">
        <f>(F186*'Scenario data entry'!H32)*IF('Scenario data entry'!H32+'Scenario data entry'!H38=0,0,1)</f>
        <v>0</v>
      </c>
      <c r="G105" s="994"/>
      <c r="H105" s="646"/>
      <c r="I105" s="154"/>
      <c r="J105" s="154"/>
      <c r="N105" s="143"/>
      <c r="O105" s="151"/>
      <c r="P105" s="151"/>
      <c r="Q105" s="151"/>
      <c r="R105" s="151"/>
      <c r="S105" s="151"/>
      <c r="T105" s="151"/>
      <c r="U105" s="151"/>
      <c r="V105" s="151"/>
      <c r="W105" s="151"/>
      <c r="X105" s="151"/>
      <c r="Y105" s="151"/>
      <c r="Z105" s="151"/>
      <c r="AA105" s="151"/>
      <c r="AB105" s="151"/>
      <c r="AC105" s="151"/>
      <c r="AD105" s="152"/>
      <c r="AE105" s="151"/>
      <c r="AF105" s="151"/>
      <c r="AG105" s="151"/>
      <c r="AH105" s="151"/>
      <c r="AI105" s="151"/>
    </row>
    <row r="106" spans="1:35" s="153" customFormat="1" x14ac:dyDescent="0.25">
      <c r="A106" s="990"/>
      <c r="B106" s="166" t="s">
        <v>34</v>
      </c>
      <c r="C106" s="183">
        <f>'Baseline data entry'!E32*365</f>
        <v>0</v>
      </c>
      <c r="D106" s="717">
        <f>(D187*'Scenario data entry'!F33)*IF('Scenario data entry'!F33+'Scenario data entry'!F39=0,0,1)</f>
        <v>0</v>
      </c>
      <c r="E106" s="717">
        <f>(E187*'Scenario data entry'!G33)*IF('Scenario data entry'!G33+'Scenario data entry'!G39=0,0,1)</f>
        <v>0</v>
      </c>
      <c r="F106" s="717">
        <f>(F187*'Scenario data entry'!H33)*IF('Scenario data entry'!H33+'Scenario data entry'!H39=0,0,1)</f>
        <v>0</v>
      </c>
      <c r="G106" s="994"/>
      <c r="H106" s="646"/>
      <c r="I106" s="154"/>
      <c r="J106" s="154"/>
      <c r="N106" s="143"/>
      <c r="O106" s="151"/>
      <c r="P106" s="151"/>
      <c r="Q106" s="151"/>
      <c r="R106" s="151"/>
      <c r="S106" s="151"/>
      <c r="T106" s="151"/>
      <c r="U106" s="151"/>
      <c r="V106" s="151"/>
      <c r="W106" s="151"/>
      <c r="X106" s="151"/>
      <c r="Y106" s="151"/>
      <c r="Z106" s="151"/>
      <c r="AA106" s="151"/>
      <c r="AB106" s="151"/>
      <c r="AC106" s="151"/>
      <c r="AD106" s="152"/>
      <c r="AE106" s="151"/>
      <c r="AF106" s="151"/>
      <c r="AG106" s="151"/>
      <c r="AH106" s="151"/>
      <c r="AI106" s="151"/>
    </row>
    <row r="107" spans="1:35" s="153" customFormat="1" x14ac:dyDescent="0.25">
      <c r="A107" s="990"/>
      <c r="B107" s="166" t="s">
        <v>35</v>
      </c>
      <c r="C107" s="183">
        <f>'Baseline data entry'!E33*365</f>
        <v>0</v>
      </c>
      <c r="D107" s="717">
        <f>(D188*'Scenario data entry'!F34)*IF('Scenario data entry'!F34+'Scenario data entry'!F40=0,0,1)</f>
        <v>0</v>
      </c>
      <c r="E107" s="717">
        <f>(E188*'Scenario data entry'!G34)*IF('Scenario data entry'!G34+'Scenario data entry'!G40=0,0,1)</f>
        <v>0</v>
      </c>
      <c r="F107" s="717">
        <f>(F188*'Scenario data entry'!H34)*IF('Scenario data entry'!H34+'Scenario data entry'!H40=0,0,1)</f>
        <v>0</v>
      </c>
      <c r="G107" s="994"/>
      <c r="H107" s="646"/>
      <c r="I107" s="154"/>
      <c r="J107" s="154"/>
      <c r="N107" s="143"/>
      <c r="O107" s="151"/>
      <c r="P107" s="151"/>
      <c r="Q107" s="151"/>
      <c r="R107" s="151"/>
      <c r="S107" s="151"/>
      <c r="T107" s="151"/>
      <c r="U107" s="151"/>
      <c r="V107" s="151"/>
      <c r="W107" s="151"/>
      <c r="X107" s="151"/>
      <c r="Y107" s="151"/>
      <c r="Z107" s="151"/>
      <c r="AA107" s="151"/>
      <c r="AB107" s="151"/>
      <c r="AC107" s="151"/>
      <c r="AD107" s="152"/>
      <c r="AE107" s="151"/>
      <c r="AF107" s="151"/>
      <c r="AG107" s="151"/>
      <c r="AH107" s="151"/>
      <c r="AI107" s="151"/>
    </row>
    <row r="108" spans="1:35" s="153" customFormat="1" x14ac:dyDescent="0.25">
      <c r="A108" s="990"/>
      <c r="B108" s="166" t="s">
        <v>36</v>
      </c>
      <c r="C108" s="183">
        <f>'Baseline data entry'!E34*365</f>
        <v>0</v>
      </c>
      <c r="D108" s="717">
        <f>(D189*'Scenario data entry'!F35)*IF('Scenario data entry'!F35+'Scenario data entry'!F41=0,0,1)</f>
        <v>0</v>
      </c>
      <c r="E108" s="717">
        <f>(E189*'Scenario data entry'!G35)*IF('Scenario data entry'!G35+'Scenario data entry'!G41=0,0,1)</f>
        <v>0</v>
      </c>
      <c r="F108" s="717">
        <f>(F189*'Scenario data entry'!H35)*IF('Scenario data entry'!H35+'Scenario data entry'!H41=0,0,1)</f>
        <v>0</v>
      </c>
      <c r="G108" s="994"/>
      <c r="H108" s="646"/>
      <c r="I108" s="154"/>
      <c r="J108" s="154"/>
      <c r="N108" s="143"/>
      <c r="O108" s="151"/>
      <c r="P108" s="151"/>
      <c r="Q108" s="151"/>
      <c r="R108" s="151"/>
      <c r="S108" s="151"/>
      <c r="T108" s="151"/>
      <c r="U108" s="151"/>
      <c r="V108" s="151"/>
      <c r="W108" s="151"/>
      <c r="X108" s="151"/>
      <c r="Y108" s="151"/>
      <c r="Z108" s="151"/>
      <c r="AA108" s="151"/>
      <c r="AB108" s="151"/>
      <c r="AC108" s="151"/>
      <c r="AD108" s="152"/>
      <c r="AE108" s="151"/>
      <c r="AF108" s="151"/>
      <c r="AG108" s="151"/>
      <c r="AH108" s="151"/>
      <c r="AI108" s="151"/>
    </row>
    <row r="109" spans="1:35" s="153" customFormat="1" x14ac:dyDescent="0.25">
      <c r="A109" s="991"/>
      <c r="B109" s="169" t="s">
        <v>107</v>
      </c>
      <c r="C109" s="184">
        <f>SUM(C103:C108)</f>
        <v>0</v>
      </c>
      <c r="D109" s="184">
        <f t="shared" ref="D109:E109" si="64">SUM(D103:D108)</f>
        <v>0</v>
      </c>
      <c r="E109" s="184">
        <f t="shared" si="64"/>
        <v>0</v>
      </c>
      <c r="F109" s="184">
        <f t="shared" ref="F109" si="65">SUM(F103:F108)</f>
        <v>0</v>
      </c>
      <c r="G109" s="995"/>
      <c r="H109" s="646"/>
      <c r="I109" s="154"/>
      <c r="J109" s="154"/>
      <c r="N109" s="143"/>
      <c r="O109" s="151"/>
      <c r="P109" s="151"/>
      <c r="Q109" s="151"/>
      <c r="R109" s="151"/>
      <c r="S109" s="151"/>
      <c r="T109" s="151"/>
      <c r="U109" s="151"/>
      <c r="V109" s="151"/>
      <c r="W109" s="151"/>
      <c r="X109" s="151"/>
      <c r="Y109" s="151"/>
      <c r="Z109" s="151"/>
      <c r="AA109" s="151"/>
      <c r="AB109" s="151"/>
      <c r="AC109" s="151"/>
      <c r="AD109" s="152"/>
      <c r="AE109" s="151"/>
      <c r="AF109" s="151"/>
      <c r="AG109" s="151"/>
      <c r="AH109" s="151"/>
      <c r="AI109" s="151"/>
    </row>
    <row r="110" spans="1:35" s="153" customFormat="1" x14ac:dyDescent="0.25">
      <c r="A110" s="578"/>
      <c r="B110" s="164" t="s">
        <v>152</v>
      </c>
      <c r="C110" s="165" t="s">
        <v>143</v>
      </c>
      <c r="D110" s="165" t="s">
        <v>143</v>
      </c>
      <c r="E110" s="165" t="s">
        <v>143</v>
      </c>
      <c r="F110" s="165" t="s">
        <v>143</v>
      </c>
      <c r="G110" s="190"/>
      <c r="H110" s="646"/>
      <c r="I110" s="154"/>
      <c r="J110" s="154"/>
      <c r="N110" s="143"/>
      <c r="O110" s="151"/>
      <c r="P110" s="151"/>
      <c r="Q110" s="151"/>
      <c r="R110" s="151"/>
      <c r="S110" s="151"/>
      <c r="T110" s="151"/>
      <c r="U110" s="151"/>
      <c r="V110" s="151"/>
      <c r="W110" s="151"/>
      <c r="X110" s="151"/>
      <c r="Y110" s="151"/>
      <c r="Z110" s="151"/>
      <c r="AA110" s="151"/>
      <c r="AB110" s="151"/>
      <c r="AC110" s="151"/>
      <c r="AD110" s="152"/>
      <c r="AE110" s="151"/>
      <c r="AF110" s="151"/>
      <c r="AG110" s="151"/>
      <c r="AH110" s="151"/>
      <c r="AI110" s="151"/>
    </row>
    <row r="111" spans="1:35" s="153" customFormat="1" x14ac:dyDescent="0.25">
      <c r="A111" s="578"/>
      <c r="B111" s="166" t="s">
        <v>29</v>
      </c>
      <c r="C111" s="183">
        <f>C103*'Baseline data entry'!E$60</f>
        <v>0</v>
      </c>
      <c r="D111" s="183">
        <f>D103*'Scenario data entry'!F$65</f>
        <v>0</v>
      </c>
      <c r="E111" s="183">
        <f>E103*'Scenario data entry'!G$65</f>
        <v>0</v>
      </c>
      <c r="F111" s="183">
        <f>F103*'Scenario data entry'!H$65</f>
        <v>0</v>
      </c>
      <c r="G111" s="992">
        <f>INDEX(Uncertainty_Factors_Table[Value],MATCH('Baseline data entry'!I60,Uncertainty_factors,0))</f>
        <v>0.66</v>
      </c>
      <c r="H111" s="646"/>
      <c r="N111" s="143"/>
      <c r="O111" s="151"/>
      <c r="P111" s="151"/>
      <c r="Q111" s="151"/>
      <c r="R111" s="151"/>
      <c r="S111" s="151"/>
      <c r="T111" s="151"/>
      <c r="U111" s="151"/>
      <c r="V111" s="151"/>
      <c r="W111" s="151"/>
      <c r="X111" s="151"/>
      <c r="Y111" s="151"/>
      <c r="Z111" s="151"/>
      <c r="AA111" s="151"/>
      <c r="AB111" s="151"/>
      <c r="AC111" s="151"/>
      <c r="AD111" s="152"/>
      <c r="AE111" s="151"/>
      <c r="AF111" s="151"/>
      <c r="AG111" s="151"/>
      <c r="AH111" s="151"/>
      <c r="AI111" s="151"/>
    </row>
    <row r="112" spans="1:35" s="153" customFormat="1" x14ac:dyDescent="0.25">
      <c r="A112" s="578"/>
      <c r="B112" s="166" t="s">
        <v>32</v>
      </c>
      <c r="C112" s="183">
        <f>C104*'Baseline data entry'!E$60</f>
        <v>0</v>
      </c>
      <c r="D112" s="183">
        <f>D104*'Scenario data entry'!F$65</f>
        <v>0</v>
      </c>
      <c r="E112" s="183">
        <f>E104*'Scenario data entry'!G$65</f>
        <v>0</v>
      </c>
      <c r="F112" s="183">
        <f>F104*'Scenario data entry'!H$65</f>
        <v>0</v>
      </c>
      <c r="G112" s="992"/>
      <c r="H112" s="646"/>
      <c r="N112" s="143"/>
      <c r="O112" s="151"/>
      <c r="P112" s="151"/>
      <c r="Q112" s="151"/>
      <c r="R112" s="151"/>
      <c r="S112" s="151"/>
      <c r="T112" s="151"/>
      <c r="U112" s="151"/>
      <c r="V112" s="151"/>
      <c r="W112" s="151"/>
      <c r="X112" s="151"/>
      <c r="Y112" s="151"/>
      <c r="Z112" s="151"/>
      <c r="AA112" s="151"/>
      <c r="AB112" s="151"/>
      <c r="AC112" s="151"/>
      <c r="AD112" s="152"/>
      <c r="AE112" s="151"/>
      <c r="AF112" s="151"/>
      <c r="AG112" s="151"/>
      <c r="AH112" s="151"/>
      <c r="AI112" s="151"/>
    </row>
    <row r="113" spans="1:35" s="153" customFormat="1" x14ac:dyDescent="0.25">
      <c r="A113" s="578"/>
      <c r="B113" s="166" t="s">
        <v>33</v>
      </c>
      <c r="C113" s="183">
        <f>C105*'Baseline data entry'!E$60</f>
        <v>0</v>
      </c>
      <c r="D113" s="183">
        <f>D105*'Scenario data entry'!F$65</f>
        <v>0</v>
      </c>
      <c r="E113" s="183">
        <f>E105*'Scenario data entry'!G$65</f>
        <v>0</v>
      </c>
      <c r="F113" s="183">
        <f>F105*'Scenario data entry'!H$65</f>
        <v>0</v>
      </c>
      <c r="G113" s="992"/>
      <c r="H113" s="646"/>
      <c r="N113" s="143"/>
      <c r="O113" s="151"/>
      <c r="P113" s="151"/>
      <c r="Q113" s="151"/>
      <c r="R113" s="151"/>
      <c r="S113" s="151"/>
      <c r="T113" s="151"/>
      <c r="U113" s="151"/>
      <c r="V113" s="151"/>
      <c r="W113" s="151"/>
      <c r="X113" s="151"/>
      <c r="Y113" s="151"/>
      <c r="Z113" s="151"/>
      <c r="AA113" s="151"/>
      <c r="AB113" s="151"/>
      <c r="AC113" s="151"/>
      <c r="AD113" s="152"/>
      <c r="AE113" s="151"/>
      <c r="AF113" s="151"/>
      <c r="AG113" s="151"/>
      <c r="AH113" s="151"/>
      <c r="AI113" s="151"/>
    </row>
    <row r="114" spans="1:35" x14ac:dyDescent="0.25">
      <c r="A114" s="578"/>
      <c r="B114" s="166" t="s">
        <v>34</v>
      </c>
      <c r="C114" s="183">
        <f>C106*'Baseline data entry'!E$60</f>
        <v>0</v>
      </c>
      <c r="D114" s="183">
        <f>D106*'Scenario data entry'!F$65</f>
        <v>0</v>
      </c>
      <c r="E114" s="183">
        <f>E106*'Scenario data entry'!G$65</f>
        <v>0</v>
      </c>
      <c r="F114" s="183">
        <f>F106*'Scenario data entry'!H$65</f>
        <v>0</v>
      </c>
      <c r="G114" s="992"/>
      <c r="H114" s="646"/>
      <c r="I114" s="145"/>
      <c r="J114" s="145"/>
      <c r="K114" s="145"/>
      <c r="L114" s="145"/>
      <c r="M114" s="145"/>
      <c r="AD114" s="148"/>
    </row>
    <row r="115" spans="1:35" x14ac:dyDescent="0.25">
      <c r="A115" s="578"/>
      <c r="B115" s="166" t="s">
        <v>35</v>
      </c>
      <c r="C115" s="183">
        <f>C107*'Baseline data entry'!E$60</f>
        <v>0</v>
      </c>
      <c r="D115" s="183">
        <f>D107*'Scenario data entry'!F$65</f>
        <v>0</v>
      </c>
      <c r="E115" s="183">
        <f>E107*'Scenario data entry'!G$65</f>
        <v>0</v>
      </c>
      <c r="F115" s="183">
        <f>F107*'Scenario data entry'!H$65</f>
        <v>0</v>
      </c>
      <c r="G115" s="992"/>
      <c r="H115" s="646"/>
      <c r="I115" s="145"/>
      <c r="J115" s="145"/>
      <c r="K115" s="145"/>
      <c r="L115" s="145"/>
      <c r="M115" s="145"/>
      <c r="AD115" s="148"/>
    </row>
    <row r="116" spans="1:35" x14ac:dyDescent="0.25">
      <c r="A116" s="578"/>
      <c r="B116" s="166" t="s">
        <v>36</v>
      </c>
      <c r="C116" s="183">
        <f>C108*'Baseline data entry'!E$60</f>
        <v>0</v>
      </c>
      <c r="D116" s="183">
        <f>D108*'Scenario data entry'!F$65</f>
        <v>0</v>
      </c>
      <c r="E116" s="183">
        <f>E108*'Scenario data entry'!G$65</f>
        <v>0</v>
      </c>
      <c r="F116" s="183">
        <f>F108*'Scenario data entry'!H$65</f>
        <v>0</v>
      </c>
      <c r="G116" s="992"/>
      <c r="H116" s="646"/>
      <c r="I116" s="145"/>
      <c r="J116" s="145"/>
      <c r="K116" s="145"/>
      <c r="L116" s="145"/>
      <c r="M116" s="145"/>
      <c r="AD116" s="148"/>
    </row>
    <row r="117" spans="1:35" x14ac:dyDescent="0.25">
      <c r="A117" s="578"/>
      <c r="B117" s="169" t="s">
        <v>107</v>
      </c>
      <c r="C117" s="191">
        <f>SUM(C111:C116)</f>
        <v>0</v>
      </c>
      <c r="D117" s="191">
        <f t="shared" ref="D117:E117" si="66">SUM(D111:D116)</f>
        <v>0</v>
      </c>
      <c r="E117" s="191">
        <f t="shared" si="66"/>
        <v>0</v>
      </c>
      <c r="F117" s="191">
        <f t="shared" ref="F117" si="67">SUM(F111:F116)</f>
        <v>0</v>
      </c>
      <c r="G117" s="993"/>
      <c r="H117" s="646"/>
      <c r="I117" s="145"/>
      <c r="J117" s="145"/>
      <c r="K117" s="145"/>
      <c r="L117" s="145"/>
      <c r="M117" s="145"/>
      <c r="AD117" s="148"/>
    </row>
    <row r="118" spans="1:35" x14ac:dyDescent="0.25">
      <c r="A118" s="989" t="s">
        <v>153</v>
      </c>
      <c r="B118" s="171" t="s">
        <v>318</v>
      </c>
      <c r="C118" s="165" t="s">
        <v>143</v>
      </c>
      <c r="D118" s="165" t="s">
        <v>143</v>
      </c>
      <c r="E118" s="165" t="s">
        <v>143</v>
      </c>
      <c r="F118" s="165" t="s">
        <v>143</v>
      </c>
      <c r="G118" s="672"/>
      <c r="H118" s="646"/>
      <c r="I118" s="145"/>
      <c r="J118" s="145"/>
      <c r="K118" s="145"/>
      <c r="L118" s="145"/>
      <c r="M118" s="145"/>
      <c r="AD118" s="148"/>
    </row>
    <row r="119" spans="1:35" x14ac:dyDescent="0.25">
      <c r="A119" s="990"/>
      <c r="B119" s="166" t="s">
        <v>29</v>
      </c>
      <c r="C119" s="183">
        <f>'Baseline data entry'!E41*365</f>
        <v>0</v>
      </c>
      <c r="D119" s="183">
        <f>D151+D127-D159</f>
        <v>0</v>
      </c>
      <c r="E119" s="183">
        <f>E151+E127-E159</f>
        <v>0</v>
      </c>
      <c r="F119" s="183">
        <f>F151+F127-F159</f>
        <v>0</v>
      </c>
      <c r="G119" s="992" t="e">
        <f>(((C125-C133)/C125)*INDEX(Uncertainty_Factors_Table[Value],MATCH('Baseline data entry'!I41,Uncertainty_factors,0)))+((C133/C125)*G127)</f>
        <v>#DIV/0!</v>
      </c>
      <c r="H119" s="646"/>
      <c r="I119" s="145"/>
      <c r="J119" s="145"/>
      <c r="K119" s="145"/>
      <c r="L119" s="145"/>
      <c r="M119" s="145"/>
      <c r="AD119" s="148"/>
    </row>
    <row r="120" spans="1:35" x14ac:dyDescent="0.25">
      <c r="A120" s="990"/>
      <c r="B120" s="166" t="s">
        <v>32</v>
      </c>
      <c r="C120" s="183">
        <f>'Baseline data entry'!E42*365</f>
        <v>0</v>
      </c>
      <c r="D120" s="183" t="e">
        <f t="shared" ref="D120:F124" si="68">D152+D128-D160</f>
        <v>#N/A</v>
      </c>
      <c r="E120" s="183" t="e">
        <f t="shared" si="68"/>
        <v>#N/A</v>
      </c>
      <c r="F120" s="183" t="e">
        <f t="shared" si="68"/>
        <v>#N/A</v>
      </c>
      <c r="G120" s="992"/>
      <c r="H120" s="646"/>
      <c r="I120" s="650"/>
      <c r="J120" s="215"/>
      <c r="K120" s="215"/>
      <c r="L120" s="215"/>
      <c r="M120" s="215"/>
      <c r="AD120" s="148"/>
    </row>
    <row r="121" spans="1:35" s="153" customFormat="1" x14ac:dyDescent="0.25">
      <c r="A121" s="990"/>
      <c r="B121" s="166" t="s">
        <v>33</v>
      </c>
      <c r="C121" s="183">
        <f>'Baseline data entry'!E43*365</f>
        <v>0</v>
      </c>
      <c r="D121" s="183">
        <f t="shared" si="68"/>
        <v>0</v>
      </c>
      <c r="E121" s="183">
        <f t="shared" si="68"/>
        <v>0</v>
      </c>
      <c r="F121" s="183">
        <f t="shared" si="68"/>
        <v>0</v>
      </c>
      <c r="G121" s="992"/>
      <c r="H121" s="646"/>
      <c r="I121" s="650"/>
      <c r="J121" s="215"/>
      <c r="K121" s="215"/>
      <c r="L121" s="215"/>
      <c r="M121" s="215"/>
      <c r="N121" s="143"/>
      <c r="O121" s="151"/>
      <c r="P121" s="151"/>
      <c r="Q121" s="151"/>
      <c r="R121" s="151"/>
      <c r="S121" s="151"/>
      <c r="T121" s="151"/>
      <c r="U121" s="151"/>
      <c r="V121" s="151"/>
      <c r="W121" s="151"/>
      <c r="X121" s="151"/>
      <c r="Y121" s="151"/>
      <c r="Z121" s="151"/>
      <c r="AA121" s="151"/>
      <c r="AB121" s="151"/>
      <c r="AC121" s="151"/>
      <c r="AD121" s="152"/>
      <c r="AE121" s="151"/>
      <c r="AF121" s="151"/>
      <c r="AG121" s="151"/>
      <c r="AH121" s="151"/>
      <c r="AI121" s="151"/>
    </row>
    <row r="122" spans="1:35" s="153" customFormat="1" x14ac:dyDescent="0.25">
      <c r="A122" s="990"/>
      <c r="B122" s="166" t="s">
        <v>34</v>
      </c>
      <c r="C122" s="183">
        <f>'Baseline data entry'!E44*365</f>
        <v>0</v>
      </c>
      <c r="D122" s="183">
        <f t="shared" si="68"/>
        <v>0</v>
      </c>
      <c r="E122" s="183">
        <f t="shared" si="68"/>
        <v>0</v>
      </c>
      <c r="F122" s="183">
        <f t="shared" si="68"/>
        <v>0</v>
      </c>
      <c r="G122" s="992"/>
      <c r="H122" s="646"/>
      <c r="I122" s="650"/>
      <c r="J122" s="215"/>
      <c r="K122" s="215"/>
      <c r="L122" s="215"/>
      <c r="M122" s="215"/>
      <c r="N122" s="143"/>
      <c r="O122" s="151"/>
      <c r="P122" s="151"/>
      <c r="Q122" s="151"/>
      <c r="R122" s="151"/>
      <c r="S122" s="151"/>
      <c r="T122" s="151"/>
      <c r="U122" s="151"/>
      <c r="V122" s="151"/>
      <c r="W122" s="151"/>
      <c r="X122" s="151"/>
      <c r="Y122" s="151"/>
      <c r="Z122" s="151"/>
      <c r="AA122" s="151"/>
      <c r="AB122" s="151"/>
      <c r="AC122" s="151"/>
      <c r="AD122" s="152"/>
      <c r="AE122" s="151"/>
      <c r="AF122" s="151"/>
      <c r="AG122" s="151"/>
      <c r="AH122" s="151"/>
      <c r="AI122" s="151"/>
    </row>
    <row r="123" spans="1:35" s="153" customFormat="1" x14ac:dyDescent="0.25">
      <c r="A123" s="990"/>
      <c r="B123" s="405" t="s">
        <v>35</v>
      </c>
      <c r="C123" s="183">
        <f>'Baseline data entry'!E45*365</f>
        <v>0</v>
      </c>
      <c r="D123" s="183">
        <f t="shared" si="68"/>
        <v>0</v>
      </c>
      <c r="E123" s="183">
        <f t="shared" si="68"/>
        <v>0</v>
      </c>
      <c r="F123" s="183">
        <f t="shared" si="68"/>
        <v>0</v>
      </c>
      <c r="G123" s="992"/>
      <c r="H123" s="646"/>
      <c r="I123" s="650"/>
      <c r="J123" s="215"/>
      <c r="K123" s="215"/>
      <c r="L123" s="215"/>
      <c r="M123" s="215"/>
      <c r="N123" s="143"/>
      <c r="O123" s="151"/>
      <c r="P123" s="151"/>
      <c r="Q123" s="151"/>
      <c r="R123" s="151"/>
      <c r="S123" s="151"/>
      <c r="T123" s="151"/>
      <c r="U123" s="151"/>
      <c r="V123" s="151"/>
      <c r="W123" s="151"/>
      <c r="X123" s="151"/>
      <c r="Y123" s="151"/>
      <c r="Z123" s="151"/>
      <c r="AA123" s="151"/>
      <c r="AB123" s="151"/>
      <c r="AC123" s="151"/>
      <c r="AD123" s="152"/>
      <c r="AE123" s="151"/>
      <c r="AF123" s="151"/>
      <c r="AG123" s="151"/>
      <c r="AH123" s="151"/>
      <c r="AI123" s="151"/>
    </row>
    <row r="124" spans="1:35" s="153" customFormat="1" x14ac:dyDescent="0.25">
      <c r="A124" s="990"/>
      <c r="B124" s="166" t="s">
        <v>36</v>
      </c>
      <c r="C124" s="183">
        <f>'Baseline data entry'!E46*365</f>
        <v>0</v>
      </c>
      <c r="D124" s="183">
        <f t="shared" si="68"/>
        <v>0</v>
      </c>
      <c r="E124" s="183">
        <f t="shared" si="68"/>
        <v>0</v>
      </c>
      <c r="F124" s="183">
        <f t="shared" si="68"/>
        <v>0</v>
      </c>
      <c r="G124" s="992"/>
      <c r="H124" s="646"/>
      <c r="I124" s="650"/>
      <c r="J124" s="215"/>
      <c r="K124" s="215"/>
      <c r="L124" s="215"/>
      <c r="M124" s="215"/>
      <c r="N124" s="143"/>
      <c r="O124" s="151"/>
      <c r="P124" s="151"/>
      <c r="Q124" s="151"/>
      <c r="R124" s="151"/>
      <c r="S124" s="151"/>
      <c r="T124" s="151"/>
      <c r="U124" s="151"/>
      <c r="V124" s="151"/>
      <c r="W124" s="151"/>
      <c r="X124" s="151"/>
      <c r="Y124" s="151"/>
      <c r="Z124" s="151"/>
      <c r="AA124" s="151"/>
      <c r="AB124" s="151"/>
      <c r="AC124" s="151"/>
      <c r="AD124" s="152"/>
      <c r="AE124" s="151"/>
      <c r="AF124" s="151"/>
      <c r="AG124" s="151"/>
      <c r="AH124" s="151"/>
      <c r="AI124" s="151"/>
    </row>
    <row r="125" spans="1:35" s="153" customFormat="1" x14ac:dyDescent="0.25">
      <c r="A125" s="991"/>
      <c r="B125" s="169" t="s">
        <v>107</v>
      </c>
      <c r="C125" s="184">
        <f>SUM(C119:C124)</f>
        <v>0</v>
      </c>
      <c r="D125" s="184" t="e">
        <f t="shared" ref="D125:E125" si="69">SUM(D119:D124)</f>
        <v>#N/A</v>
      </c>
      <c r="E125" s="184" t="e">
        <f t="shared" si="69"/>
        <v>#N/A</v>
      </c>
      <c r="F125" s="184" t="e">
        <f t="shared" ref="F125" si="70">SUM(F119:F124)</f>
        <v>#N/A</v>
      </c>
      <c r="G125" s="993"/>
      <c r="H125" s="646"/>
      <c r="I125" s="650"/>
      <c r="J125" s="215"/>
      <c r="K125" s="215"/>
      <c r="L125" s="215"/>
      <c r="M125" s="215"/>
      <c r="N125" s="143"/>
      <c r="O125" s="151"/>
      <c r="P125" s="151"/>
      <c r="Q125" s="151"/>
      <c r="R125" s="151"/>
      <c r="S125" s="151"/>
      <c r="T125" s="151"/>
      <c r="U125" s="151"/>
      <c r="V125" s="151"/>
      <c r="W125" s="151"/>
      <c r="X125" s="151"/>
      <c r="Y125" s="151"/>
      <c r="Z125" s="151"/>
      <c r="AA125" s="151"/>
      <c r="AB125" s="151"/>
      <c r="AC125" s="151"/>
      <c r="AD125" s="152"/>
      <c r="AE125" s="151"/>
      <c r="AF125" s="151"/>
      <c r="AG125" s="151"/>
      <c r="AH125" s="151"/>
      <c r="AI125" s="151"/>
    </row>
    <row r="126" spans="1:35" s="153" customFormat="1" x14ac:dyDescent="0.25">
      <c r="A126" s="989"/>
      <c r="B126" s="171" t="s">
        <v>319</v>
      </c>
      <c r="C126" s="165" t="s">
        <v>143</v>
      </c>
      <c r="D126" s="165" t="s">
        <v>143</v>
      </c>
      <c r="E126" s="165" t="s">
        <v>143</v>
      </c>
      <c r="F126" s="165" t="s">
        <v>143</v>
      </c>
      <c r="G126" s="672"/>
      <c r="H126" s="646"/>
      <c r="I126" s="650"/>
      <c r="J126" s="215"/>
      <c r="K126" s="215"/>
      <c r="L126" s="215"/>
      <c r="M126" s="215"/>
      <c r="N126" s="143"/>
      <c r="O126" s="151"/>
      <c r="P126" s="151"/>
      <c r="Q126" s="151"/>
      <c r="R126" s="151"/>
      <c r="S126" s="151"/>
      <c r="T126" s="151"/>
      <c r="U126" s="151"/>
      <c r="V126" s="151"/>
      <c r="W126" s="151"/>
      <c r="X126" s="151"/>
      <c r="Y126" s="151"/>
      <c r="Z126" s="151"/>
      <c r="AA126" s="151"/>
      <c r="AB126" s="151"/>
      <c r="AC126" s="151"/>
      <c r="AD126" s="152"/>
      <c r="AE126" s="151"/>
      <c r="AF126" s="151"/>
      <c r="AG126" s="151"/>
      <c r="AH126" s="151"/>
      <c r="AI126" s="151"/>
    </row>
    <row r="127" spans="1:35" s="153" customFormat="1" x14ac:dyDescent="0.25">
      <c r="A127" s="990"/>
      <c r="B127" s="166" t="s">
        <v>29</v>
      </c>
      <c r="C127" s="183">
        <f>C119*('Baseline data entry'!$E$48*IF('Baseline data entry'!$E$47=Settings!$S$33,0.8,0))</f>
        <v>0</v>
      </c>
      <c r="D127" s="183">
        <f>(D167-D103)*'Scenario data entry'!F$49*IF('Scenario data entry'!$F$48=Settings!$S$33,1,0)</f>
        <v>0</v>
      </c>
      <c r="E127" s="183">
        <f>(E167-E103)*'Scenario data entry'!G$49*IF('Scenario data entry'!$F$48=Settings!$S$33,1,0)</f>
        <v>0</v>
      </c>
      <c r="F127" s="183">
        <f>(F167-F103)*'Scenario data entry'!H$49*IF('Scenario data entry'!$F$48=Settings!$S$33,1,0)</f>
        <v>0</v>
      </c>
      <c r="G127" s="992" t="e">
        <f>INDEX(Uncertainty_Factors_Table[Value],MATCH('Baseline data entry'!I47,Uncertainty_factors,0))</f>
        <v>#N/A</v>
      </c>
      <c r="H127" s="646"/>
      <c r="I127" s="650"/>
      <c r="J127" s="649"/>
      <c r="K127" s="215"/>
      <c r="L127" s="215"/>
      <c r="M127" s="215"/>
      <c r="N127" s="143"/>
      <c r="O127" s="151"/>
      <c r="P127" s="151"/>
      <c r="Q127" s="151"/>
      <c r="R127" s="151"/>
      <c r="S127" s="151"/>
      <c r="T127" s="151"/>
      <c r="U127" s="151"/>
      <c r="V127" s="151"/>
      <c r="W127" s="151"/>
      <c r="X127" s="151"/>
      <c r="Y127" s="151"/>
      <c r="Z127" s="151"/>
      <c r="AA127" s="151"/>
      <c r="AB127" s="151"/>
      <c r="AC127" s="151"/>
      <c r="AD127" s="152"/>
      <c r="AE127" s="151"/>
      <c r="AF127" s="151"/>
      <c r="AG127" s="151"/>
      <c r="AH127" s="151"/>
      <c r="AI127" s="151"/>
    </row>
    <row r="128" spans="1:35" s="153" customFormat="1" x14ac:dyDescent="0.25">
      <c r="A128" s="990"/>
      <c r="B128" s="166" t="s">
        <v>32</v>
      </c>
      <c r="C128" s="183">
        <f>C120*('Baseline data entry'!$E$48*IF('Baseline data entry'!$E$47=Settings!$S$33,0.8,0))</f>
        <v>0</v>
      </c>
      <c r="D128" s="183" t="e">
        <f>(D168-D104)*'Scenario data entry'!F$49*IF('Scenario data entry'!$F$48=Settings!$S$33,1,0)</f>
        <v>#N/A</v>
      </c>
      <c r="E128" s="183" t="e">
        <f>(E168-E104)*'Scenario data entry'!G$49*IF('Scenario data entry'!$F$48=Settings!$S$33,1,0)</f>
        <v>#N/A</v>
      </c>
      <c r="F128" s="183" t="e">
        <f>(F168-F104)*'Scenario data entry'!H$49*IF('Scenario data entry'!$F$48=Settings!$S$33,1,0)</f>
        <v>#N/A</v>
      </c>
      <c r="G128" s="992"/>
      <c r="H128" s="646"/>
      <c r="I128" s="650"/>
      <c r="J128" s="215"/>
      <c r="K128" s="215"/>
      <c r="L128" s="215"/>
      <c r="M128" s="215"/>
      <c r="N128" s="143"/>
      <c r="O128" s="151"/>
      <c r="P128" s="151"/>
      <c r="Q128" s="151"/>
      <c r="R128" s="151"/>
      <c r="S128" s="151"/>
      <c r="T128" s="151"/>
      <c r="U128" s="151"/>
      <c r="V128" s="151"/>
      <c r="W128" s="151"/>
      <c r="X128" s="151"/>
      <c r="Y128" s="151"/>
      <c r="Z128" s="151"/>
      <c r="AA128" s="151"/>
      <c r="AB128" s="151"/>
      <c r="AC128" s="151"/>
      <c r="AD128" s="152"/>
      <c r="AE128" s="151"/>
      <c r="AF128" s="151"/>
      <c r="AG128" s="151"/>
      <c r="AH128" s="151"/>
      <c r="AI128" s="151"/>
    </row>
    <row r="129" spans="1:35" s="153" customFormat="1" x14ac:dyDescent="0.25">
      <c r="A129" s="990"/>
      <c r="B129" s="166" t="s">
        <v>33</v>
      </c>
      <c r="C129" s="183">
        <f>C121*('Baseline data entry'!$E$48*IF('Baseline data entry'!$E$47=Settings!$S$33,0.8,0))</f>
        <v>0</v>
      </c>
      <c r="D129" s="183">
        <f>(D169-D105)*'Scenario data entry'!F$49*IF('Scenario data entry'!$F$48=Settings!$S$33,1,0)</f>
        <v>0</v>
      </c>
      <c r="E129" s="183">
        <f>(E169-E105)*'Scenario data entry'!G$49*IF('Scenario data entry'!$F$48=Settings!$S$33,1,0)</f>
        <v>0</v>
      </c>
      <c r="F129" s="183">
        <f>(F169-F105)*'Scenario data entry'!H$49*IF('Scenario data entry'!$F$48=Settings!$S$33,1,0)</f>
        <v>0</v>
      </c>
      <c r="G129" s="992"/>
      <c r="H129" s="646"/>
      <c r="I129" s="650"/>
      <c r="J129" s="215"/>
      <c r="K129" s="215"/>
      <c r="L129" s="215"/>
      <c r="M129" s="215"/>
      <c r="N129" s="143"/>
      <c r="O129" s="151"/>
      <c r="P129" s="151"/>
      <c r="Q129" s="151"/>
      <c r="R129" s="151"/>
      <c r="S129" s="151"/>
      <c r="T129" s="151"/>
      <c r="U129" s="151"/>
      <c r="V129" s="151"/>
      <c r="W129" s="151"/>
      <c r="X129" s="151"/>
      <c r="Y129" s="151"/>
      <c r="Z129" s="151"/>
      <c r="AA129" s="151"/>
      <c r="AB129" s="151"/>
      <c r="AC129" s="151"/>
      <c r="AD129" s="152"/>
      <c r="AE129" s="151"/>
      <c r="AF129" s="151"/>
      <c r="AG129" s="151"/>
      <c r="AH129" s="151"/>
      <c r="AI129" s="151"/>
    </row>
    <row r="130" spans="1:35" s="153" customFormat="1" x14ac:dyDescent="0.25">
      <c r="A130" s="990"/>
      <c r="B130" s="166" t="s">
        <v>34</v>
      </c>
      <c r="C130" s="183">
        <f>C122*('Baseline data entry'!$E$48*IF('Baseline data entry'!$E$47=Settings!$S$33,0.8,0))</f>
        <v>0</v>
      </c>
      <c r="D130" s="183">
        <f>(D170-D106)*'Scenario data entry'!F$49*IF('Scenario data entry'!$F$48=Settings!$S$33,1,0)</f>
        <v>0</v>
      </c>
      <c r="E130" s="183">
        <f>(E170-E106)*'Scenario data entry'!G$49*IF('Scenario data entry'!$F$48=Settings!$S$33,1,0)</f>
        <v>0</v>
      </c>
      <c r="F130" s="183">
        <f>(F170-F106)*'Scenario data entry'!H$49*IF('Scenario data entry'!$F$48=Settings!$S$33,1,0)</f>
        <v>0</v>
      </c>
      <c r="G130" s="992"/>
      <c r="H130" s="646"/>
      <c r="I130" s="650"/>
      <c r="J130" s="215"/>
      <c r="K130" s="215"/>
      <c r="L130" s="215"/>
      <c r="M130" s="215"/>
      <c r="N130" s="143"/>
      <c r="O130" s="151"/>
      <c r="P130" s="151"/>
      <c r="Q130" s="151"/>
      <c r="R130" s="151"/>
      <c r="S130" s="151"/>
      <c r="T130" s="151"/>
      <c r="U130" s="151"/>
      <c r="V130" s="151"/>
      <c r="W130" s="151"/>
      <c r="X130" s="151"/>
      <c r="Y130" s="151"/>
      <c r="Z130" s="151"/>
      <c r="AA130" s="151"/>
      <c r="AB130" s="151"/>
      <c r="AC130" s="151"/>
      <c r="AD130" s="152"/>
      <c r="AE130" s="151"/>
      <c r="AF130" s="151"/>
      <c r="AG130" s="151"/>
      <c r="AH130" s="151"/>
      <c r="AI130" s="151"/>
    </row>
    <row r="131" spans="1:35" s="153" customFormat="1" x14ac:dyDescent="0.25">
      <c r="A131" s="990"/>
      <c r="B131" s="405" t="s">
        <v>35</v>
      </c>
      <c r="C131" s="183">
        <f>C123*('Baseline data entry'!$E$48*IF('Baseline data entry'!$E$47=Settings!$S$33,0.8,0))</f>
        <v>0</v>
      </c>
      <c r="D131" s="183">
        <f>(D171-D107)*'Scenario data entry'!F$49*IF('Scenario data entry'!$F$48=Settings!$S$33,1,0)</f>
        <v>0</v>
      </c>
      <c r="E131" s="183">
        <f>(E171-E107)*'Scenario data entry'!G$49*IF('Scenario data entry'!$F$48=Settings!$S$33,1,0)</f>
        <v>0</v>
      </c>
      <c r="F131" s="183">
        <f>(F171-F107)*'Scenario data entry'!H$49*IF('Scenario data entry'!$F$48=Settings!$S$33,1,0)</f>
        <v>0</v>
      </c>
      <c r="G131" s="992"/>
      <c r="H131" s="646"/>
      <c r="I131" s="650"/>
      <c r="J131" s="215"/>
      <c r="K131" s="215"/>
      <c r="L131" s="215"/>
      <c r="M131" s="215"/>
      <c r="N131" s="143"/>
      <c r="O131" s="151"/>
      <c r="P131" s="151"/>
      <c r="Q131" s="151"/>
      <c r="R131" s="151"/>
      <c r="S131" s="151"/>
      <c r="T131" s="151"/>
      <c r="U131" s="151"/>
      <c r="V131" s="151"/>
      <c r="W131" s="151"/>
      <c r="X131" s="151"/>
      <c r="Y131" s="151"/>
      <c r="Z131" s="151"/>
      <c r="AA131" s="151"/>
      <c r="AB131" s="151"/>
      <c r="AC131" s="151"/>
      <c r="AD131" s="152"/>
      <c r="AE131" s="151"/>
      <c r="AF131" s="151"/>
      <c r="AG131" s="151"/>
      <c r="AH131" s="151"/>
      <c r="AI131" s="151"/>
    </row>
    <row r="132" spans="1:35" s="153" customFormat="1" x14ac:dyDescent="0.25">
      <c r="A132" s="990"/>
      <c r="B132" s="166" t="s">
        <v>36</v>
      </c>
      <c r="C132" s="183">
        <f>C124*('Baseline data entry'!$E$48*IF('Baseline data entry'!$E$47=Settings!$S$33,0.8,0))</f>
        <v>0</v>
      </c>
      <c r="D132" s="183">
        <f>(D172-D108)*'Scenario data entry'!F$49*IF('Scenario data entry'!$F$48=Settings!$S$33,1,0)</f>
        <v>0</v>
      </c>
      <c r="E132" s="183">
        <f>(E172-E108)*'Scenario data entry'!G$49*IF('Scenario data entry'!$F$48=Settings!$S$33,1,0)</f>
        <v>0</v>
      </c>
      <c r="F132" s="183">
        <f>(F172-F108)*'Scenario data entry'!H$49*IF('Scenario data entry'!$F$48=Settings!$S$33,1,0)</f>
        <v>0</v>
      </c>
      <c r="G132" s="992"/>
      <c r="H132" s="646"/>
      <c r="I132" s="650"/>
      <c r="J132" s="215"/>
      <c r="K132" s="215"/>
      <c r="L132" s="215"/>
      <c r="M132" s="215"/>
      <c r="N132" s="143"/>
      <c r="O132" s="151"/>
      <c r="P132" s="151"/>
      <c r="Q132" s="151"/>
      <c r="R132" s="151"/>
      <c r="S132" s="151"/>
      <c r="T132" s="151"/>
      <c r="U132" s="151"/>
      <c r="V132" s="151"/>
      <c r="W132" s="151"/>
      <c r="X132" s="151"/>
      <c r="Y132" s="151"/>
      <c r="Z132" s="151"/>
      <c r="AA132" s="151"/>
      <c r="AB132" s="151"/>
      <c r="AC132" s="151"/>
      <c r="AD132" s="152"/>
      <c r="AE132" s="151"/>
      <c r="AF132" s="151"/>
      <c r="AG132" s="151"/>
      <c r="AH132" s="151"/>
      <c r="AI132" s="151"/>
    </row>
    <row r="133" spans="1:35" s="153" customFormat="1" x14ac:dyDescent="0.25">
      <c r="A133" s="991"/>
      <c r="B133" s="169" t="s">
        <v>107</v>
      </c>
      <c r="C133" s="184">
        <f>SUM(C127:C132)</f>
        <v>0</v>
      </c>
      <c r="D133" s="184" t="e">
        <f t="shared" ref="D133:F133" si="71">SUM(D127:D132)</f>
        <v>#N/A</v>
      </c>
      <c r="E133" s="184" t="e">
        <f t="shared" si="71"/>
        <v>#N/A</v>
      </c>
      <c r="F133" s="184" t="e">
        <f t="shared" si="71"/>
        <v>#N/A</v>
      </c>
      <c r="G133" s="993"/>
      <c r="H133" s="646"/>
      <c r="I133" s="650"/>
      <c r="J133" s="215"/>
      <c r="K133" s="215"/>
      <c r="L133" s="215"/>
      <c r="M133" s="215"/>
      <c r="N133" s="143"/>
      <c r="O133" s="151"/>
      <c r="P133" s="151"/>
      <c r="Q133" s="151"/>
      <c r="R133" s="151"/>
      <c r="S133" s="151"/>
      <c r="T133" s="151"/>
      <c r="U133" s="151"/>
      <c r="V133" s="151"/>
      <c r="W133" s="151"/>
      <c r="X133" s="151"/>
      <c r="Y133" s="151"/>
      <c r="Z133" s="151"/>
      <c r="AA133" s="151"/>
      <c r="AB133" s="151"/>
      <c r="AC133" s="151"/>
      <c r="AD133" s="152"/>
      <c r="AE133" s="151"/>
      <c r="AF133" s="151"/>
      <c r="AG133" s="151"/>
      <c r="AH133" s="151"/>
      <c r="AI133" s="151"/>
    </row>
    <row r="134" spans="1:35" s="153" customFormat="1" x14ac:dyDescent="0.25">
      <c r="A134" s="989" t="s">
        <v>154</v>
      </c>
      <c r="B134" s="164" t="s">
        <v>320</v>
      </c>
      <c r="C134" s="165" t="s">
        <v>143</v>
      </c>
      <c r="D134" s="165" t="s">
        <v>143</v>
      </c>
      <c r="E134" s="165" t="s">
        <v>143</v>
      </c>
      <c r="F134" s="165" t="s">
        <v>143</v>
      </c>
      <c r="G134" s="675"/>
      <c r="H134" s="646"/>
      <c r="I134" s="650"/>
      <c r="J134" s="215"/>
      <c r="K134" s="215"/>
      <c r="L134" s="215"/>
      <c r="M134" s="215"/>
      <c r="N134" s="143"/>
      <c r="O134" s="151"/>
      <c r="P134" s="151"/>
      <c r="Q134" s="151"/>
      <c r="R134" s="151"/>
      <c r="S134" s="151"/>
      <c r="T134" s="151"/>
      <c r="U134" s="151"/>
      <c r="V134" s="151"/>
      <c r="W134" s="151"/>
      <c r="X134" s="151"/>
      <c r="Y134" s="151"/>
      <c r="Z134" s="151"/>
      <c r="AA134" s="151"/>
      <c r="AB134" s="151"/>
      <c r="AC134" s="151"/>
      <c r="AD134" s="152"/>
      <c r="AE134" s="151"/>
      <c r="AF134" s="151"/>
      <c r="AG134" s="151"/>
      <c r="AH134" s="151"/>
      <c r="AI134" s="151"/>
    </row>
    <row r="135" spans="1:35" s="153" customFormat="1" x14ac:dyDescent="0.25">
      <c r="A135" s="990"/>
      <c r="B135" s="166" t="s">
        <v>29</v>
      </c>
      <c r="C135" s="183">
        <f>'Baseline data entry'!E35*365</f>
        <v>0</v>
      </c>
      <c r="D135" s="183">
        <f>D167-D103-D127-D175</f>
        <v>0</v>
      </c>
      <c r="E135" s="183">
        <f>E167-E103-E127-E175</f>
        <v>0</v>
      </c>
      <c r="F135" s="183">
        <f>F167-F103-F127-F175</f>
        <v>0</v>
      </c>
      <c r="G135" s="992" t="e">
        <f>INDEX(Uncertainty_Factors_Table[Value],MATCH('Baseline data entry'!I35,Uncertainty_factors,0))</f>
        <v>#N/A</v>
      </c>
      <c r="H135" s="646"/>
      <c r="I135" s="650"/>
      <c r="J135" s="215"/>
      <c r="K135" s="215"/>
      <c r="L135" s="215"/>
      <c r="M135" s="215"/>
      <c r="N135" s="143"/>
      <c r="O135" s="151"/>
      <c r="P135" s="151"/>
      <c r="Q135" s="151"/>
      <c r="R135" s="151"/>
      <c r="S135" s="151"/>
      <c r="T135" s="151"/>
      <c r="U135" s="151"/>
      <c r="V135" s="151"/>
      <c r="W135" s="151"/>
      <c r="X135" s="151"/>
      <c r="Y135" s="151"/>
      <c r="Z135" s="151"/>
      <c r="AA135" s="151"/>
      <c r="AB135" s="151"/>
      <c r="AC135" s="151"/>
      <c r="AD135" s="152"/>
      <c r="AE135" s="151"/>
      <c r="AF135" s="151"/>
      <c r="AG135" s="151"/>
      <c r="AH135" s="151"/>
      <c r="AI135" s="151"/>
    </row>
    <row r="136" spans="1:35" s="153" customFormat="1" x14ac:dyDescent="0.25">
      <c r="A136" s="990"/>
      <c r="B136" s="166" t="s">
        <v>32</v>
      </c>
      <c r="C136" s="183">
        <f>'Baseline data entry'!E36*365</f>
        <v>0</v>
      </c>
      <c r="D136" s="183" t="e">
        <f t="shared" ref="D136:F140" si="72">D168-D104-D128-D176</f>
        <v>#N/A</v>
      </c>
      <c r="E136" s="183" t="e">
        <f t="shared" si="72"/>
        <v>#N/A</v>
      </c>
      <c r="F136" s="183" t="e">
        <f t="shared" si="72"/>
        <v>#N/A</v>
      </c>
      <c r="G136" s="992"/>
      <c r="H136" s="646"/>
      <c r="I136" s="650"/>
      <c r="J136" s="215"/>
      <c r="K136" s="215"/>
      <c r="L136" s="215"/>
      <c r="M136" s="215"/>
      <c r="N136" s="143"/>
      <c r="O136" s="151"/>
      <c r="P136" s="151"/>
      <c r="Q136" s="151"/>
      <c r="R136" s="151"/>
      <c r="S136" s="151"/>
      <c r="T136" s="151"/>
      <c r="U136" s="151"/>
      <c r="V136" s="151"/>
      <c r="W136" s="151"/>
      <c r="X136" s="151"/>
      <c r="Y136" s="151"/>
      <c r="Z136" s="151"/>
      <c r="AA136" s="151"/>
      <c r="AB136" s="151"/>
      <c r="AC136" s="151"/>
      <c r="AD136" s="152"/>
      <c r="AE136" s="151"/>
      <c r="AF136" s="151"/>
      <c r="AG136" s="151"/>
      <c r="AH136" s="151"/>
      <c r="AI136" s="151"/>
    </row>
    <row r="137" spans="1:35" s="153" customFormat="1" x14ac:dyDescent="0.25">
      <c r="A137" s="990"/>
      <c r="B137" s="166" t="s">
        <v>33</v>
      </c>
      <c r="C137" s="183">
        <f>'Baseline data entry'!E37*365</f>
        <v>0</v>
      </c>
      <c r="D137" s="183">
        <f>D169-D105-D129-D177</f>
        <v>0</v>
      </c>
      <c r="E137" s="183">
        <f t="shared" si="72"/>
        <v>0</v>
      </c>
      <c r="F137" s="183">
        <f t="shared" si="72"/>
        <v>0</v>
      </c>
      <c r="G137" s="992"/>
      <c r="H137" s="646"/>
      <c r="I137" s="650"/>
      <c r="J137" s="215"/>
      <c r="K137" s="215"/>
      <c r="L137" s="215"/>
      <c r="M137" s="215"/>
      <c r="N137" s="143"/>
      <c r="O137" s="151"/>
      <c r="P137" s="151"/>
      <c r="Q137" s="151"/>
      <c r="R137" s="151"/>
      <c r="S137" s="151"/>
      <c r="T137" s="151"/>
      <c r="U137" s="151"/>
      <c r="V137" s="151"/>
      <c r="W137" s="151"/>
      <c r="X137" s="151"/>
      <c r="Y137" s="151"/>
      <c r="Z137" s="151"/>
      <c r="AA137" s="151"/>
      <c r="AB137" s="151"/>
      <c r="AC137" s="151"/>
      <c r="AD137" s="152"/>
      <c r="AE137" s="151"/>
      <c r="AF137" s="151"/>
      <c r="AG137" s="151"/>
      <c r="AH137" s="151"/>
      <c r="AI137" s="151"/>
    </row>
    <row r="138" spans="1:35" s="153" customFormat="1" x14ac:dyDescent="0.25">
      <c r="A138" s="990"/>
      <c r="B138" s="166" t="s">
        <v>34</v>
      </c>
      <c r="C138" s="183">
        <f>'Baseline data entry'!E38*365</f>
        <v>0</v>
      </c>
      <c r="D138" s="183">
        <f t="shared" si="72"/>
        <v>0</v>
      </c>
      <c r="E138" s="183">
        <f t="shared" si="72"/>
        <v>0</v>
      </c>
      <c r="F138" s="183">
        <f t="shared" si="72"/>
        <v>0</v>
      </c>
      <c r="G138" s="992"/>
      <c r="H138" s="646"/>
      <c r="I138" s="215"/>
      <c r="J138" s="215"/>
      <c r="K138" s="215"/>
      <c r="L138" s="215"/>
      <c r="M138" s="215"/>
      <c r="N138" s="143"/>
      <c r="O138" s="151"/>
      <c r="P138" s="151"/>
      <c r="Q138" s="151"/>
      <c r="R138" s="151"/>
      <c r="S138" s="151"/>
      <c r="T138" s="151"/>
      <c r="U138" s="151"/>
      <c r="V138" s="151"/>
      <c r="W138" s="151"/>
      <c r="X138" s="151"/>
      <c r="Y138" s="151"/>
      <c r="Z138" s="151"/>
      <c r="AA138" s="151"/>
      <c r="AB138" s="151"/>
      <c r="AC138" s="151"/>
      <c r="AD138" s="152"/>
      <c r="AE138" s="151"/>
      <c r="AF138" s="151"/>
      <c r="AG138" s="151"/>
      <c r="AH138" s="151"/>
      <c r="AI138" s="151"/>
    </row>
    <row r="139" spans="1:35" s="153" customFormat="1" x14ac:dyDescent="0.25">
      <c r="A139" s="990"/>
      <c r="B139" s="405" t="s">
        <v>35</v>
      </c>
      <c r="C139" s="183">
        <f>'Baseline data entry'!E39*365</f>
        <v>0</v>
      </c>
      <c r="D139" s="183">
        <f t="shared" si="72"/>
        <v>0</v>
      </c>
      <c r="E139" s="183">
        <f t="shared" si="72"/>
        <v>0</v>
      </c>
      <c r="F139" s="183">
        <f t="shared" si="72"/>
        <v>0</v>
      </c>
      <c r="G139" s="992"/>
      <c r="H139" s="646"/>
      <c r="I139" s="215"/>
      <c r="J139" s="215"/>
      <c r="K139" s="215"/>
      <c r="L139" s="215"/>
      <c r="M139" s="215"/>
      <c r="N139" s="143"/>
      <c r="O139" s="151"/>
      <c r="P139" s="151"/>
      <c r="Q139" s="151"/>
      <c r="R139" s="151"/>
      <c r="S139" s="151"/>
      <c r="T139" s="151"/>
      <c r="U139" s="151"/>
      <c r="V139" s="151"/>
      <c r="W139" s="151"/>
      <c r="X139" s="151"/>
      <c r="Y139" s="151"/>
      <c r="Z139" s="151"/>
      <c r="AA139" s="151"/>
      <c r="AB139" s="151"/>
      <c r="AC139" s="151"/>
      <c r="AD139" s="152"/>
      <c r="AE139" s="151"/>
      <c r="AF139" s="151"/>
      <c r="AG139" s="151"/>
      <c r="AH139" s="151"/>
      <c r="AI139" s="151"/>
    </row>
    <row r="140" spans="1:35" s="153" customFormat="1" x14ac:dyDescent="0.25">
      <c r="A140" s="990"/>
      <c r="B140" s="166" t="s">
        <v>36</v>
      </c>
      <c r="C140" s="183">
        <f>'Baseline data entry'!E40*365</f>
        <v>0</v>
      </c>
      <c r="D140" s="183">
        <f t="shared" si="72"/>
        <v>0</v>
      </c>
      <c r="E140" s="183">
        <f t="shared" si="72"/>
        <v>0</v>
      </c>
      <c r="F140" s="183">
        <f t="shared" si="72"/>
        <v>0</v>
      </c>
      <c r="G140" s="992"/>
      <c r="H140" s="646"/>
      <c r="I140" s="215"/>
      <c r="J140" s="215"/>
      <c r="K140" s="215"/>
      <c r="L140" s="215"/>
      <c r="M140" s="215"/>
      <c r="N140" s="143"/>
      <c r="O140" s="151"/>
      <c r="P140" s="151"/>
      <c r="Q140" s="151"/>
      <c r="R140" s="151"/>
      <c r="S140" s="151"/>
      <c r="T140" s="151"/>
      <c r="U140" s="151"/>
      <c r="V140" s="151"/>
      <c r="W140" s="151"/>
      <c r="X140" s="151"/>
      <c r="Y140" s="151"/>
      <c r="Z140" s="151"/>
      <c r="AA140" s="151"/>
      <c r="AB140" s="151"/>
      <c r="AC140" s="151"/>
      <c r="AD140" s="152"/>
      <c r="AE140" s="151"/>
      <c r="AF140" s="151"/>
      <c r="AG140" s="151"/>
      <c r="AH140" s="151"/>
      <c r="AI140" s="151"/>
    </row>
    <row r="141" spans="1:35" s="153" customFormat="1" x14ac:dyDescent="0.25">
      <c r="A141" s="991"/>
      <c r="B141" s="169" t="s">
        <v>107</v>
      </c>
      <c r="C141" s="184">
        <f>SUM(C135:C140)</f>
        <v>0</v>
      </c>
      <c r="D141" s="184" t="e">
        <f t="shared" ref="D141:E141" si="73">SUM(D135:D140)</f>
        <v>#N/A</v>
      </c>
      <c r="E141" s="184" t="e">
        <f t="shared" si="73"/>
        <v>#N/A</v>
      </c>
      <c r="F141" s="184" t="e">
        <f t="shared" ref="F141" si="74">SUM(F135:F140)</f>
        <v>#N/A</v>
      </c>
      <c r="G141" s="993"/>
      <c r="H141" s="646"/>
      <c r="I141" s="215"/>
      <c r="J141" s="215"/>
      <c r="K141" s="215"/>
      <c r="L141" s="215"/>
      <c r="M141" s="215"/>
      <c r="N141" s="143"/>
      <c r="O141" s="151"/>
      <c r="P141" s="151"/>
      <c r="Q141" s="151"/>
      <c r="R141" s="151"/>
      <c r="S141" s="151"/>
      <c r="T141" s="151"/>
      <c r="U141" s="151"/>
      <c r="V141" s="151"/>
      <c r="W141" s="151"/>
      <c r="X141" s="151"/>
      <c r="Y141" s="151"/>
      <c r="Z141" s="151"/>
      <c r="AA141" s="151"/>
      <c r="AB141" s="151"/>
      <c r="AC141" s="151"/>
      <c r="AD141" s="152"/>
      <c r="AE141" s="151"/>
      <c r="AF141" s="151"/>
      <c r="AG141" s="151"/>
      <c r="AH141" s="151"/>
      <c r="AI141" s="151"/>
    </row>
    <row r="142" spans="1:35" s="153" customFormat="1" x14ac:dyDescent="0.25">
      <c r="A142" s="578"/>
      <c r="B142" s="164" t="s">
        <v>321</v>
      </c>
      <c r="C142" s="165" t="s">
        <v>143</v>
      </c>
      <c r="D142" s="165" t="s">
        <v>143</v>
      </c>
      <c r="E142" s="165" t="s">
        <v>143</v>
      </c>
      <c r="F142" s="165" t="s">
        <v>143</v>
      </c>
      <c r="G142" s="190"/>
      <c r="H142" s="646"/>
      <c r="I142" s="215"/>
      <c r="J142" s="215"/>
      <c r="K142" s="215"/>
      <c r="L142" s="215"/>
      <c r="M142" s="215"/>
      <c r="N142" s="143"/>
      <c r="O142" s="151"/>
      <c r="P142" s="151"/>
      <c r="Q142" s="151"/>
      <c r="R142" s="151"/>
      <c r="S142" s="151"/>
      <c r="T142" s="151"/>
      <c r="U142" s="151"/>
      <c r="V142" s="151"/>
      <c r="W142" s="151"/>
      <c r="X142" s="151"/>
      <c r="Y142" s="151"/>
      <c r="Z142" s="151"/>
      <c r="AA142" s="151"/>
      <c r="AB142" s="151"/>
      <c r="AC142" s="151"/>
      <c r="AD142" s="152"/>
      <c r="AE142" s="151"/>
      <c r="AF142" s="151"/>
      <c r="AG142" s="151"/>
      <c r="AH142" s="151"/>
      <c r="AI142" s="151"/>
    </row>
    <row r="143" spans="1:35" s="153" customFormat="1" x14ac:dyDescent="0.25">
      <c r="A143" s="578"/>
      <c r="B143" s="166" t="s">
        <v>29</v>
      </c>
      <c r="C143" s="183">
        <f>(C119+C135)*'Baseline data entry'!E$59</f>
        <v>0</v>
      </c>
      <c r="D143" s="183">
        <f>(D119+D135)*'Scenario data entry'!F$64</f>
        <v>0</v>
      </c>
      <c r="E143" s="183">
        <f>(E119+E135)*'Scenario data entry'!G$64</f>
        <v>0</v>
      </c>
      <c r="F143" s="183">
        <f>(F119+F135)*'Scenario data entry'!H$64</f>
        <v>0</v>
      </c>
      <c r="G143" s="992">
        <f>INDEX(Uncertainty_Factors_Table[Value],MATCH('Baseline data entry'!I59,Uncertainty_factors,0))</f>
        <v>0.66</v>
      </c>
      <c r="H143" s="646"/>
      <c r="I143" s="215"/>
      <c r="J143" s="215"/>
      <c r="K143" s="215"/>
      <c r="L143" s="215"/>
      <c r="M143" s="215"/>
      <c r="N143" s="143"/>
      <c r="O143" s="151"/>
      <c r="P143" s="151"/>
      <c r="Q143" s="151"/>
      <c r="R143" s="151"/>
      <c r="S143" s="151"/>
      <c r="T143" s="151"/>
      <c r="U143" s="151"/>
      <c r="V143" s="151"/>
      <c r="W143" s="151"/>
      <c r="X143" s="151"/>
      <c r="Y143" s="151"/>
      <c r="Z143" s="151"/>
      <c r="AA143" s="151"/>
      <c r="AB143" s="151"/>
      <c r="AC143" s="151"/>
      <c r="AD143" s="152"/>
      <c r="AE143" s="151"/>
      <c r="AF143" s="151"/>
      <c r="AG143" s="151"/>
      <c r="AH143" s="151"/>
      <c r="AI143" s="151"/>
    </row>
    <row r="144" spans="1:35" s="153" customFormat="1" x14ac:dyDescent="0.25">
      <c r="A144" s="578"/>
      <c r="B144" s="166" t="s">
        <v>32</v>
      </c>
      <c r="C144" s="183">
        <f>(C120+C136)*'Baseline data entry'!E$59</f>
        <v>0</v>
      </c>
      <c r="D144" s="183" t="e">
        <f>(D120+D136)*'Scenario data entry'!F$64</f>
        <v>#N/A</v>
      </c>
      <c r="E144" s="183" t="e">
        <f>(E120+E136)*'Scenario data entry'!G$64</f>
        <v>#N/A</v>
      </c>
      <c r="F144" s="183" t="e">
        <f>(F120+F136)*'Scenario data entry'!H$64</f>
        <v>#N/A</v>
      </c>
      <c r="G144" s="992"/>
      <c r="H144" s="646"/>
      <c r="I144" s="215"/>
      <c r="J144" s="215"/>
      <c r="K144" s="215"/>
      <c r="L144" s="215"/>
      <c r="M144" s="215"/>
      <c r="N144" s="143"/>
      <c r="O144" s="151"/>
      <c r="P144" s="151"/>
      <c r="Q144" s="151"/>
      <c r="R144" s="151"/>
      <c r="S144" s="151"/>
      <c r="T144" s="151"/>
      <c r="U144" s="151"/>
      <c r="V144" s="151"/>
      <c r="W144" s="151"/>
      <c r="X144" s="151"/>
      <c r="Y144" s="151"/>
      <c r="Z144" s="151"/>
      <c r="AA144" s="151"/>
      <c r="AB144" s="151"/>
      <c r="AC144" s="151"/>
      <c r="AD144" s="152"/>
      <c r="AE144" s="151"/>
      <c r="AF144" s="151"/>
      <c r="AG144" s="151"/>
      <c r="AH144" s="151"/>
      <c r="AI144" s="151"/>
    </row>
    <row r="145" spans="1:35" s="153" customFormat="1" x14ac:dyDescent="0.25">
      <c r="A145" s="578"/>
      <c r="B145" s="166" t="s">
        <v>33</v>
      </c>
      <c r="C145" s="183">
        <f>(C121+C137)*'Baseline data entry'!E$59</f>
        <v>0</v>
      </c>
      <c r="D145" s="183">
        <f>(D121+D137)*'Scenario data entry'!F$64</f>
        <v>0</v>
      </c>
      <c r="E145" s="183">
        <f>(E121+E137)*'Scenario data entry'!G$64</f>
        <v>0</v>
      </c>
      <c r="F145" s="183">
        <f>(F121+F137)*'Scenario data entry'!H$64</f>
        <v>0</v>
      </c>
      <c r="G145" s="992"/>
      <c r="H145" s="646"/>
      <c r="I145" s="215"/>
      <c r="J145" s="215"/>
      <c r="K145" s="215"/>
      <c r="L145" s="209"/>
      <c r="M145" s="209"/>
      <c r="N145" s="143"/>
      <c r="O145" s="151"/>
      <c r="P145" s="151"/>
      <c r="Q145" s="151"/>
      <c r="R145" s="151"/>
      <c r="S145" s="151"/>
      <c r="T145" s="151"/>
      <c r="U145" s="151"/>
      <c r="V145" s="151"/>
      <c r="W145" s="151"/>
      <c r="X145" s="151"/>
      <c r="Y145" s="151"/>
      <c r="Z145" s="151"/>
      <c r="AA145" s="151"/>
      <c r="AB145" s="151"/>
      <c r="AC145" s="151"/>
      <c r="AD145" s="152"/>
      <c r="AE145" s="151"/>
      <c r="AF145" s="151"/>
      <c r="AG145" s="151"/>
      <c r="AH145" s="151"/>
      <c r="AI145" s="151"/>
    </row>
    <row r="146" spans="1:35" s="153" customFormat="1" x14ac:dyDescent="0.25">
      <c r="A146" s="578"/>
      <c r="B146" s="166" t="s">
        <v>34</v>
      </c>
      <c r="C146" s="183">
        <f>(C122+C138)*'Baseline data entry'!E$59</f>
        <v>0</v>
      </c>
      <c r="D146" s="183">
        <f>(D122+D138)*'Scenario data entry'!F$64</f>
        <v>0</v>
      </c>
      <c r="E146" s="183">
        <f>(E122+E138)*'Scenario data entry'!G$64</f>
        <v>0</v>
      </c>
      <c r="F146" s="183">
        <f>(F122+F138)*'Scenario data entry'!H$64</f>
        <v>0</v>
      </c>
      <c r="G146" s="992"/>
      <c r="H146" s="646"/>
      <c r="I146" s="215"/>
      <c r="J146" s="215"/>
      <c r="K146" s="215"/>
      <c r="L146" s="215"/>
      <c r="M146" s="215"/>
      <c r="N146" s="143"/>
      <c r="O146" s="151"/>
      <c r="P146" s="151"/>
      <c r="Q146" s="151"/>
      <c r="R146" s="151"/>
      <c r="S146" s="151"/>
      <c r="T146" s="151"/>
      <c r="U146" s="151"/>
      <c r="V146" s="151"/>
      <c r="W146" s="151"/>
      <c r="X146" s="151"/>
      <c r="Y146" s="151"/>
      <c r="Z146" s="151"/>
      <c r="AA146" s="151"/>
      <c r="AB146" s="151"/>
      <c r="AC146" s="151"/>
      <c r="AD146" s="152"/>
      <c r="AE146" s="151"/>
      <c r="AF146" s="151"/>
      <c r="AG146" s="151"/>
      <c r="AH146" s="151"/>
      <c r="AI146" s="151"/>
    </row>
    <row r="147" spans="1:35" s="153" customFormat="1" x14ac:dyDescent="0.25">
      <c r="A147" s="578"/>
      <c r="B147" s="405" t="s">
        <v>35</v>
      </c>
      <c r="C147" s="183">
        <f>(C123+C139)*'Baseline data entry'!E$59</f>
        <v>0</v>
      </c>
      <c r="D147" s="183">
        <f>(D123+D139)*'Scenario data entry'!F$64</f>
        <v>0</v>
      </c>
      <c r="E147" s="183">
        <f>(E123+E139)*'Scenario data entry'!G$64</f>
        <v>0</v>
      </c>
      <c r="F147" s="183">
        <f>(F123+F139)*'Scenario data entry'!H$64</f>
        <v>0</v>
      </c>
      <c r="G147" s="992"/>
      <c r="H147" s="646"/>
      <c r="I147" s="215"/>
      <c r="J147" s="215"/>
      <c r="K147" s="215"/>
      <c r="L147" s="215"/>
      <c r="M147" s="215"/>
      <c r="N147" s="143"/>
      <c r="O147" s="151"/>
      <c r="P147" s="151"/>
      <c r="Q147" s="151"/>
      <c r="R147" s="151"/>
      <c r="S147" s="151"/>
      <c r="T147" s="151"/>
      <c r="U147" s="151"/>
      <c r="V147" s="151"/>
      <c r="W147" s="151"/>
      <c r="X147" s="151"/>
      <c r="Y147" s="151"/>
      <c r="Z147" s="151"/>
      <c r="AA147" s="151"/>
      <c r="AB147" s="151"/>
      <c r="AC147" s="151"/>
      <c r="AD147" s="152"/>
      <c r="AE147" s="151"/>
      <c r="AF147" s="151"/>
      <c r="AG147" s="151"/>
      <c r="AH147" s="151"/>
      <c r="AI147" s="151"/>
    </row>
    <row r="148" spans="1:35" s="153" customFormat="1" x14ac:dyDescent="0.25">
      <c r="A148" s="578"/>
      <c r="B148" s="166" t="s">
        <v>36</v>
      </c>
      <c r="C148" s="183">
        <f>(C124+C140)*'Baseline data entry'!E$59</f>
        <v>0</v>
      </c>
      <c r="D148" s="183">
        <f>(D124+D140)*'Scenario data entry'!F$64</f>
        <v>0</v>
      </c>
      <c r="E148" s="183">
        <f>(E124+E140)*'Scenario data entry'!G$64</f>
        <v>0</v>
      </c>
      <c r="F148" s="183">
        <f>(F124+F140)*'Scenario data entry'!H$64</f>
        <v>0</v>
      </c>
      <c r="G148" s="992"/>
      <c r="H148" s="646"/>
      <c r="I148" s="215"/>
      <c r="J148" s="215"/>
      <c r="K148" s="215"/>
      <c r="L148" s="209"/>
      <c r="M148" s="215"/>
      <c r="N148" s="143"/>
      <c r="O148" s="151"/>
      <c r="P148" s="151"/>
      <c r="Q148" s="151"/>
      <c r="R148" s="151"/>
      <c r="S148" s="151"/>
      <c r="T148" s="151"/>
      <c r="U148" s="151"/>
      <c r="V148" s="151"/>
      <c r="W148" s="151"/>
      <c r="X148" s="151"/>
      <c r="Y148" s="151"/>
      <c r="Z148" s="151"/>
      <c r="AA148" s="151"/>
      <c r="AB148" s="151"/>
      <c r="AC148" s="151"/>
      <c r="AD148" s="152"/>
      <c r="AE148" s="151"/>
      <c r="AF148" s="151"/>
      <c r="AG148" s="151"/>
      <c r="AH148" s="151"/>
      <c r="AI148" s="151"/>
    </row>
    <row r="149" spans="1:35" s="153" customFormat="1" x14ac:dyDescent="0.25">
      <c r="A149" s="578"/>
      <c r="B149" s="169" t="s">
        <v>107</v>
      </c>
      <c r="C149" s="184">
        <f>SUM(C143:C148)</f>
        <v>0</v>
      </c>
      <c r="D149" s="184" t="e">
        <f t="shared" ref="D149:E149" si="75">SUM(D143:D148)</f>
        <v>#N/A</v>
      </c>
      <c r="E149" s="184" t="e">
        <f t="shared" si="75"/>
        <v>#N/A</v>
      </c>
      <c r="F149" s="184" t="e">
        <f t="shared" ref="F149" si="76">SUM(F143:F148)</f>
        <v>#N/A</v>
      </c>
      <c r="G149" s="993"/>
      <c r="H149" s="646"/>
      <c r="I149" s="215"/>
      <c r="J149" s="215"/>
      <c r="K149" s="215"/>
      <c r="L149" s="215"/>
      <c r="M149" s="215"/>
      <c r="N149" s="143"/>
      <c r="O149" s="151"/>
      <c r="P149" s="151"/>
      <c r="Q149" s="151"/>
      <c r="R149" s="151"/>
      <c r="S149" s="151"/>
      <c r="T149" s="151"/>
      <c r="U149" s="151"/>
      <c r="V149" s="151"/>
      <c r="W149" s="151"/>
      <c r="X149" s="151"/>
      <c r="Y149" s="151"/>
      <c r="Z149" s="151"/>
      <c r="AA149" s="151"/>
      <c r="AB149" s="151"/>
      <c r="AC149" s="151"/>
      <c r="AD149" s="152"/>
      <c r="AE149" s="151"/>
      <c r="AF149" s="151"/>
      <c r="AG149" s="151"/>
      <c r="AH149" s="151"/>
      <c r="AI149" s="151"/>
    </row>
    <row r="150" spans="1:35" s="153" customFormat="1" x14ac:dyDescent="0.25">
      <c r="A150" s="989" t="s">
        <v>155</v>
      </c>
      <c r="B150" s="164" t="s">
        <v>294</v>
      </c>
      <c r="C150" s="165" t="s">
        <v>143</v>
      </c>
      <c r="D150" s="165" t="s">
        <v>143</v>
      </c>
      <c r="E150" s="165" t="s">
        <v>143</v>
      </c>
      <c r="F150" s="165" t="s">
        <v>143</v>
      </c>
      <c r="G150" s="675"/>
      <c r="H150" s="646"/>
      <c r="I150" s="215"/>
      <c r="J150" s="215"/>
      <c r="K150" s="215"/>
      <c r="L150" s="215"/>
      <c r="M150" s="215"/>
      <c r="N150" s="143"/>
      <c r="O150" s="151"/>
      <c r="P150" s="151"/>
      <c r="Q150" s="151"/>
      <c r="R150" s="151"/>
      <c r="S150" s="151"/>
      <c r="T150" s="151"/>
      <c r="U150" s="151"/>
      <c r="V150" s="151"/>
      <c r="W150" s="151"/>
      <c r="X150" s="151"/>
      <c r="Y150" s="151"/>
      <c r="Z150" s="151"/>
      <c r="AA150" s="151"/>
      <c r="AB150" s="151"/>
      <c r="AC150" s="151"/>
      <c r="AD150" s="152"/>
      <c r="AE150" s="151"/>
      <c r="AF150" s="151"/>
      <c r="AG150" s="151"/>
      <c r="AH150" s="151"/>
      <c r="AI150" s="151"/>
    </row>
    <row r="151" spans="1:35" s="153" customFormat="1" x14ac:dyDescent="0.25">
      <c r="A151" s="990"/>
      <c r="B151" s="166" t="s">
        <v>29</v>
      </c>
      <c r="C151" s="183">
        <f>C119-C127</f>
        <v>0</v>
      </c>
      <c r="D151" s="183">
        <f>D192-D208</f>
        <v>0</v>
      </c>
      <c r="E151" s="183">
        <f t="shared" ref="E151:F151" si="77">E192-E208</f>
        <v>0</v>
      </c>
      <c r="F151" s="183">
        <f t="shared" si="77"/>
        <v>0</v>
      </c>
      <c r="G151" s="992" t="e">
        <f>((C125/(C125+C165))*G119)+((C165/(C125+C165))*G159)</f>
        <v>#N/A</v>
      </c>
      <c r="H151" s="646"/>
      <c r="I151" s="215"/>
      <c r="J151" s="215"/>
      <c r="K151" s="215"/>
      <c r="L151" s="215"/>
      <c r="M151" s="215"/>
      <c r="N151" s="143"/>
      <c r="O151" s="151"/>
      <c r="P151" s="151"/>
      <c r="Q151" s="151"/>
      <c r="R151" s="151"/>
      <c r="S151" s="151"/>
      <c r="T151" s="151"/>
      <c r="U151" s="151"/>
      <c r="V151" s="151"/>
      <c r="W151" s="151"/>
      <c r="X151" s="151"/>
      <c r="Y151" s="151"/>
      <c r="Z151" s="151"/>
      <c r="AA151" s="151"/>
      <c r="AB151" s="151"/>
      <c r="AC151" s="151"/>
      <c r="AD151" s="152"/>
      <c r="AE151" s="151"/>
      <c r="AF151" s="151"/>
      <c r="AG151" s="151"/>
      <c r="AH151" s="151"/>
      <c r="AI151" s="151"/>
    </row>
    <row r="152" spans="1:35" s="153" customFormat="1" x14ac:dyDescent="0.25">
      <c r="A152" s="990"/>
      <c r="B152" s="166" t="s">
        <v>32</v>
      </c>
      <c r="C152" s="183">
        <f>C120-C128</f>
        <v>0</v>
      </c>
      <c r="D152" s="183" t="e">
        <f>D193-D209</f>
        <v>#N/A</v>
      </c>
      <c r="E152" s="183" t="e">
        <f t="shared" ref="E152:F152" si="78">E193-E209</f>
        <v>#N/A</v>
      </c>
      <c r="F152" s="183" t="e">
        <f t="shared" si="78"/>
        <v>#N/A</v>
      </c>
      <c r="G152" s="992"/>
      <c r="H152" s="646"/>
      <c r="I152" s="215"/>
      <c r="J152" s="215"/>
      <c r="K152" s="215"/>
      <c r="L152" s="215"/>
      <c r="M152" s="215"/>
      <c r="N152" s="143"/>
      <c r="O152" s="151"/>
      <c r="P152" s="151"/>
      <c r="Q152" s="151"/>
      <c r="R152" s="151"/>
      <c r="S152" s="151"/>
      <c r="T152" s="151"/>
      <c r="U152" s="151"/>
      <c r="V152" s="151"/>
      <c r="W152" s="151"/>
      <c r="X152" s="151"/>
      <c r="Y152" s="151"/>
      <c r="Z152" s="151"/>
      <c r="AA152" s="151"/>
      <c r="AB152" s="151"/>
      <c r="AC152" s="151"/>
      <c r="AD152" s="152"/>
      <c r="AE152" s="151"/>
      <c r="AF152" s="151"/>
      <c r="AG152" s="151"/>
      <c r="AH152" s="151"/>
      <c r="AI152" s="151"/>
    </row>
    <row r="153" spans="1:35" s="153" customFormat="1" x14ac:dyDescent="0.25">
      <c r="A153" s="990"/>
      <c r="B153" s="166" t="s">
        <v>33</v>
      </c>
      <c r="C153" s="183">
        <f t="shared" ref="C153:C156" si="79">C121-C129</f>
        <v>0</v>
      </c>
      <c r="D153" s="183">
        <f t="shared" ref="D153:F153" si="80">D194-D210</f>
        <v>0</v>
      </c>
      <c r="E153" s="183">
        <f t="shared" si="80"/>
        <v>0</v>
      </c>
      <c r="F153" s="183">
        <f t="shared" si="80"/>
        <v>0</v>
      </c>
      <c r="G153" s="992"/>
      <c r="H153" s="646"/>
      <c r="I153" s="215"/>
      <c r="J153" s="215"/>
      <c r="K153" s="215"/>
      <c r="L153" s="215"/>
      <c r="M153" s="215"/>
      <c r="N153" s="143"/>
      <c r="O153" s="151"/>
      <c r="P153" s="151"/>
      <c r="Q153" s="151"/>
      <c r="R153" s="151"/>
      <c r="S153" s="151"/>
      <c r="T153" s="151"/>
      <c r="U153" s="151"/>
      <c r="V153" s="151"/>
      <c r="W153" s="151"/>
      <c r="X153" s="151"/>
      <c r="Y153" s="151"/>
      <c r="Z153" s="151"/>
      <c r="AA153" s="151"/>
      <c r="AB153" s="151"/>
      <c r="AC153" s="151"/>
      <c r="AD153" s="152"/>
      <c r="AE153" s="151"/>
      <c r="AF153" s="151"/>
      <c r="AG153" s="151"/>
      <c r="AH153" s="151"/>
      <c r="AI153" s="151"/>
    </row>
    <row r="154" spans="1:35" s="153" customFormat="1" x14ac:dyDescent="0.25">
      <c r="A154" s="990"/>
      <c r="B154" s="166" t="s">
        <v>34</v>
      </c>
      <c r="C154" s="183">
        <f t="shared" si="79"/>
        <v>0</v>
      </c>
      <c r="D154" s="183">
        <f t="shared" ref="D154:F154" si="81">D195-D211</f>
        <v>0</v>
      </c>
      <c r="E154" s="183">
        <f t="shared" si="81"/>
        <v>0</v>
      </c>
      <c r="F154" s="183">
        <f t="shared" si="81"/>
        <v>0</v>
      </c>
      <c r="G154" s="992"/>
      <c r="H154" s="646"/>
      <c r="I154" s="650"/>
      <c r="J154" s="215"/>
      <c r="K154" s="215"/>
      <c r="L154" s="215"/>
      <c r="M154" s="215"/>
      <c r="N154" s="143"/>
      <c r="O154" s="151"/>
      <c r="P154" s="151"/>
      <c r="Q154" s="151"/>
      <c r="R154" s="151"/>
      <c r="S154" s="151"/>
      <c r="T154" s="151"/>
      <c r="U154" s="151"/>
      <c r="V154" s="151"/>
      <c r="W154" s="151"/>
      <c r="X154" s="151"/>
      <c r="Y154" s="151"/>
      <c r="Z154" s="151"/>
      <c r="AA154" s="151"/>
      <c r="AB154" s="151"/>
      <c r="AC154" s="151"/>
      <c r="AD154" s="152"/>
      <c r="AE154" s="151"/>
      <c r="AF154" s="151"/>
      <c r="AG154" s="151"/>
      <c r="AH154" s="151"/>
      <c r="AI154" s="151"/>
    </row>
    <row r="155" spans="1:35" x14ac:dyDescent="0.25">
      <c r="A155" s="990"/>
      <c r="B155" s="405" t="s">
        <v>35</v>
      </c>
      <c r="C155" s="183">
        <f t="shared" si="79"/>
        <v>0</v>
      </c>
      <c r="D155" s="183">
        <f t="shared" ref="D155:F155" si="82">D196-D212</f>
        <v>0</v>
      </c>
      <c r="E155" s="183">
        <f t="shared" si="82"/>
        <v>0</v>
      </c>
      <c r="F155" s="183">
        <f t="shared" si="82"/>
        <v>0</v>
      </c>
      <c r="G155" s="992"/>
      <c r="H155" s="646"/>
      <c r="I155" s="650"/>
      <c r="J155" s="215"/>
      <c r="K155" s="215"/>
      <c r="L155" s="215"/>
      <c r="M155" s="215"/>
      <c r="AD155" s="148"/>
    </row>
    <row r="156" spans="1:35" x14ac:dyDescent="0.25">
      <c r="A156" s="990"/>
      <c r="B156" s="166" t="s">
        <v>36</v>
      </c>
      <c r="C156" s="183">
        <f t="shared" si="79"/>
        <v>0</v>
      </c>
      <c r="D156" s="183">
        <f t="shared" ref="D156:F156" si="83">D197-D213</f>
        <v>0</v>
      </c>
      <c r="E156" s="183">
        <f t="shared" si="83"/>
        <v>0</v>
      </c>
      <c r="F156" s="183">
        <f t="shared" si="83"/>
        <v>0</v>
      </c>
      <c r="G156" s="992"/>
      <c r="H156" s="646"/>
      <c r="I156" s="650"/>
      <c r="J156" s="215"/>
      <c r="K156" s="215"/>
      <c r="L156" s="215"/>
      <c r="M156" s="215"/>
      <c r="AD156" s="148"/>
    </row>
    <row r="157" spans="1:35" x14ac:dyDescent="0.25">
      <c r="A157" s="991"/>
      <c r="B157" s="169" t="s">
        <v>107</v>
      </c>
      <c r="C157" s="184">
        <f>SUM(C151:C156)</f>
        <v>0</v>
      </c>
      <c r="D157" s="184" t="e">
        <f>SUM(D151:D156)</f>
        <v>#N/A</v>
      </c>
      <c r="E157" s="184" t="e">
        <f t="shared" ref="E157" si="84">SUM(E151:E156)</f>
        <v>#N/A</v>
      </c>
      <c r="F157" s="184" t="e">
        <f t="shared" ref="F157" si="85">SUM(F151:F156)</f>
        <v>#N/A</v>
      </c>
      <c r="G157" s="993"/>
      <c r="H157" s="646"/>
      <c r="I157" s="650"/>
      <c r="J157" s="215"/>
      <c r="K157" s="647"/>
      <c r="L157" s="647"/>
      <c r="M157" s="209"/>
      <c r="AD157" s="148"/>
    </row>
    <row r="158" spans="1:35" x14ac:dyDescent="0.25">
      <c r="A158" s="989" t="s">
        <v>127</v>
      </c>
      <c r="B158" s="176" t="s">
        <v>295</v>
      </c>
      <c r="C158" s="165" t="s">
        <v>143</v>
      </c>
      <c r="D158" s="165" t="s">
        <v>143</v>
      </c>
      <c r="E158" s="165" t="s">
        <v>143</v>
      </c>
      <c r="F158" s="165" t="s">
        <v>143</v>
      </c>
      <c r="G158" s="672"/>
      <c r="H158" s="646"/>
      <c r="I158" s="650"/>
      <c r="J158" s="215"/>
      <c r="K158" s="215"/>
      <c r="L158" s="215"/>
      <c r="M158" s="215"/>
      <c r="AD158" s="148"/>
    </row>
    <row r="159" spans="1:35" x14ac:dyDescent="0.25">
      <c r="A159" s="990"/>
      <c r="B159" s="177" t="s">
        <v>29</v>
      </c>
      <c r="C159" s="188">
        <f>C151*C20</f>
        <v>0</v>
      </c>
      <c r="D159" s="188">
        <v>0</v>
      </c>
      <c r="E159" s="188">
        <v>0</v>
      </c>
      <c r="F159" s="188">
        <v>0</v>
      </c>
      <c r="G159" s="994">
        <f>INDEX(Uncertainty_Factors_Table[Value],MATCH('Baseline data entry'!I72,Uncertainty_factors,0))</f>
        <v>0.33</v>
      </c>
      <c r="H159" s="646"/>
      <c r="I159" s="650"/>
      <c r="J159" s="215"/>
      <c r="K159" s="215"/>
      <c r="L159" s="215"/>
      <c r="M159" s="215"/>
      <c r="AD159" s="148"/>
    </row>
    <row r="160" spans="1:35" x14ac:dyDescent="0.25">
      <c r="A160" s="990"/>
      <c r="B160" s="166" t="s">
        <v>32</v>
      </c>
      <c r="C160" s="189" t="e">
        <f>(C128/(1-C21))*C21</f>
        <v>#N/A</v>
      </c>
      <c r="D160" s="189" t="e">
        <f>D128*D21</f>
        <v>#N/A</v>
      </c>
      <c r="E160" s="189" t="e">
        <f>E128*E21</f>
        <v>#N/A</v>
      </c>
      <c r="F160" s="189" t="e">
        <f>F128*F21</f>
        <v>#N/A</v>
      </c>
      <c r="G160" s="994"/>
      <c r="H160" s="646"/>
      <c r="I160" s="650"/>
      <c r="J160" s="215"/>
      <c r="K160" s="215"/>
      <c r="L160" s="215"/>
      <c r="M160" s="215"/>
      <c r="AD160" s="148"/>
    </row>
    <row r="161" spans="1:35" x14ac:dyDescent="0.25">
      <c r="A161" s="990"/>
      <c r="B161" s="177" t="s">
        <v>33</v>
      </c>
      <c r="C161" s="188">
        <f>C153*C22</f>
        <v>0</v>
      </c>
      <c r="D161" s="188">
        <v>0</v>
      </c>
      <c r="E161" s="188">
        <v>0</v>
      </c>
      <c r="F161" s="188">
        <v>0</v>
      </c>
      <c r="G161" s="994"/>
      <c r="H161" s="646"/>
      <c r="I161" s="650"/>
      <c r="J161" s="215"/>
      <c r="K161" s="215"/>
      <c r="L161" s="215"/>
      <c r="M161" s="215"/>
      <c r="AD161" s="148"/>
    </row>
    <row r="162" spans="1:35" x14ac:dyDescent="0.25">
      <c r="A162" s="990"/>
      <c r="B162" s="177" t="s">
        <v>34</v>
      </c>
      <c r="C162" s="188">
        <f t="shared" ref="C162:C164" si="86">C154*C23</f>
        <v>0</v>
      </c>
      <c r="D162" s="188">
        <v>0</v>
      </c>
      <c r="E162" s="188">
        <v>0</v>
      </c>
      <c r="F162" s="188">
        <v>0</v>
      </c>
      <c r="G162" s="994"/>
      <c r="H162" s="646"/>
      <c r="I162" s="650"/>
      <c r="J162" s="215"/>
      <c r="K162" s="215"/>
      <c r="L162" s="215"/>
      <c r="M162" s="215"/>
      <c r="AD162" s="148"/>
    </row>
    <row r="163" spans="1:35" x14ac:dyDescent="0.25">
      <c r="A163" s="990"/>
      <c r="B163" s="177" t="s">
        <v>35</v>
      </c>
      <c r="C163" s="188">
        <f t="shared" si="86"/>
        <v>0</v>
      </c>
      <c r="D163" s="188">
        <v>0</v>
      </c>
      <c r="E163" s="188">
        <v>0</v>
      </c>
      <c r="F163" s="188">
        <v>0</v>
      </c>
      <c r="G163" s="994"/>
      <c r="H163" s="646"/>
      <c r="I163" s="650"/>
      <c r="J163" s="215"/>
      <c r="K163" s="215"/>
      <c r="L163" s="215"/>
      <c r="M163" s="215"/>
      <c r="AD163" s="148"/>
    </row>
    <row r="164" spans="1:35" x14ac:dyDescent="0.25">
      <c r="A164" s="990"/>
      <c r="B164" s="177" t="s">
        <v>36</v>
      </c>
      <c r="C164" s="188">
        <f t="shared" si="86"/>
        <v>0</v>
      </c>
      <c r="D164" s="188">
        <v>0</v>
      </c>
      <c r="E164" s="188">
        <v>0</v>
      </c>
      <c r="F164" s="188">
        <v>0</v>
      </c>
      <c r="G164" s="994"/>
      <c r="H164" s="646"/>
      <c r="I164" s="650"/>
      <c r="J164" s="215"/>
      <c r="K164" s="215"/>
      <c r="L164" s="215"/>
      <c r="M164" s="215"/>
      <c r="AD164" s="148"/>
    </row>
    <row r="165" spans="1:35" x14ac:dyDescent="0.25">
      <c r="A165" s="991"/>
      <c r="B165" s="169" t="s">
        <v>107</v>
      </c>
      <c r="C165" s="184" t="e">
        <f>SUM(C159:C164)</f>
        <v>#N/A</v>
      </c>
      <c r="D165" s="184" t="e">
        <f t="shared" ref="D165:E165" si="87">SUM(D159:D164)</f>
        <v>#N/A</v>
      </c>
      <c r="E165" s="184" t="e">
        <f t="shared" si="87"/>
        <v>#N/A</v>
      </c>
      <c r="F165" s="184" t="e">
        <f t="shared" ref="F165" si="88">SUM(F159:F164)</f>
        <v>#N/A</v>
      </c>
      <c r="G165" s="995"/>
      <c r="H165" s="646"/>
      <c r="I165" s="650"/>
      <c r="J165" s="215"/>
      <c r="K165" s="215"/>
      <c r="L165" s="215"/>
      <c r="M165" s="215"/>
      <c r="AD165" s="148"/>
    </row>
    <row r="166" spans="1:35" x14ac:dyDescent="0.25">
      <c r="A166" s="989" t="s">
        <v>156</v>
      </c>
      <c r="B166" s="415" t="s">
        <v>639</v>
      </c>
      <c r="C166" s="165" t="s">
        <v>143</v>
      </c>
      <c r="D166" s="165" t="s">
        <v>143</v>
      </c>
      <c r="E166" s="165" t="s">
        <v>143</v>
      </c>
      <c r="F166" s="165" t="s">
        <v>143</v>
      </c>
      <c r="G166" s="675"/>
      <c r="H166" s="646"/>
      <c r="I166" s="650"/>
      <c r="J166" s="215"/>
      <c r="K166" s="215"/>
      <c r="L166" s="215"/>
      <c r="M166" s="215"/>
      <c r="AD166" s="148"/>
    </row>
    <row r="167" spans="1:35" x14ac:dyDescent="0.25">
      <c r="A167" s="990"/>
      <c r="B167" s="166" t="s">
        <v>29</v>
      </c>
      <c r="C167" s="183">
        <f>(C135/(1-C28))+C103+(C127/(1-C20))</f>
        <v>0</v>
      </c>
      <c r="D167" s="183">
        <f>(D184-D200)*('Scenario data entry'!F30+'Scenario data entry'!F36)</f>
        <v>0</v>
      </c>
      <c r="E167" s="183">
        <f>(E184-E200)*('Scenario data entry'!G30+'Scenario data entry'!G36)</f>
        <v>0</v>
      </c>
      <c r="F167" s="183">
        <f>(F184-F200)*('Scenario data entry'!H30+'Scenario data entry'!H36)</f>
        <v>0</v>
      </c>
      <c r="G167" s="992" t="e">
        <f>((C141/(C141+C109+C181))*G135)+((C109/(C141+C109+C181))*G103)+((C181/(C141+C109+C181))*G175)</f>
        <v>#N/A</v>
      </c>
      <c r="H167" s="646"/>
      <c r="I167" s="718"/>
      <c r="J167" s="215"/>
      <c r="K167" s="215"/>
      <c r="L167" s="215"/>
      <c r="M167" s="215"/>
      <c r="AD167" s="148"/>
    </row>
    <row r="168" spans="1:35" x14ac:dyDescent="0.25">
      <c r="A168" s="990"/>
      <c r="B168" s="166" t="s">
        <v>32</v>
      </c>
      <c r="C168" s="183" t="e">
        <f t="shared" ref="C168:C172" si="89">(C136/(1-C29))+C104+(C128/(1-C21))</f>
        <v>#N/A</v>
      </c>
      <c r="D168" s="183" t="e">
        <f>(D185-D201)*('Scenario data entry'!F31+'Scenario data entry'!F37)</f>
        <v>#N/A</v>
      </c>
      <c r="E168" s="183" t="e">
        <f>(E185-E201)*('Scenario data entry'!G31+'Scenario data entry'!G37)</f>
        <v>#N/A</v>
      </c>
      <c r="F168" s="183" t="e">
        <f>(F185-F201)*('Scenario data entry'!H31+'Scenario data entry'!H37)</f>
        <v>#N/A</v>
      </c>
      <c r="G168" s="992"/>
      <c r="H168" s="646"/>
      <c r="I168" s="650"/>
      <c r="J168" s="215"/>
      <c r="K168" s="215"/>
      <c r="L168" s="215"/>
      <c r="M168" s="215"/>
      <c r="AD168" s="148"/>
    </row>
    <row r="169" spans="1:35" s="153" customFormat="1" x14ac:dyDescent="0.25">
      <c r="A169" s="990"/>
      <c r="B169" s="166" t="s">
        <v>33</v>
      </c>
      <c r="C169" s="183">
        <f t="shared" si="89"/>
        <v>0</v>
      </c>
      <c r="D169" s="183">
        <f>(D186-D202)*('Scenario data entry'!F32+'Scenario data entry'!F38)</f>
        <v>0</v>
      </c>
      <c r="E169" s="183">
        <f>(E186-E202)*('Scenario data entry'!G32+'Scenario data entry'!G38)</f>
        <v>0</v>
      </c>
      <c r="F169" s="183">
        <f>(F186-F202)*('Scenario data entry'!H32+'Scenario data entry'!H38)</f>
        <v>0</v>
      </c>
      <c r="G169" s="992"/>
      <c r="H169" s="646"/>
      <c r="I169" s="650"/>
      <c r="J169" s="215"/>
      <c r="K169" s="215"/>
      <c r="L169" s="215"/>
      <c r="M169" s="215"/>
      <c r="N169" s="143"/>
      <c r="O169" s="151"/>
      <c r="P169" s="151"/>
      <c r="Q169" s="151"/>
      <c r="R169" s="151"/>
      <c r="S169" s="151"/>
      <c r="T169" s="151"/>
      <c r="U169" s="151"/>
      <c r="V169" s="151"/>
      <c r="W169" s="151"/>
      <c r="X169" s="151"/>
      <c r="Y169" s="151"/>
      <c r="Z169" s="151"/>
      <c r="AA169" s="151"/>
      <c r="AB169" s="151"/>
      <c r="AC169" s="151"/>
      <c r="AD169" s="152"/>
      <c r="AE169" s="151"/>
      <c r="AF169" s="151"/>
      <c r="AG169" s="151"/>
      <c r="AH169" s="151"/>
      <c r="AI169" s="151"/>
    </row>
    <row r="170" spans="1:35" s="153" customFormat="1" x14ac:dyDescent="0.25">
      <c r="A170" s="990"/>
      <c r="B170" s="166" t="s">
        <v>34</v>
      </c>
      <c r="C170" s="183">
        <f t="shared" si="89"/>
        <v>0</v>
      </c>
      <c r="D170" s="183">
        <f>(D187-D203)*('Scenario data entry'!F33+'Scenario data entry'!F39)</f>
        <v>0</v>
      </c>
      <c r="E170" s="183">
        <f>(E187-E203)*('Scenario data entry'!G33+'Scenario data entry'!G39)</f>
        <v>0</v>
      </c>
      <c r="F170" s="183">
        <f>(F187-F203)*('Scenario data entry'!H33+'Scenario data entry'!H39)</f>
        <v>0</v>
      </c>
      <c r="G170" s="992"/>
      <c r="H170" s="646"/>
      <c r="I170" s="650"/>
      <c r="J170" s="215"/>
      <c r="K170" s="215"/>
      <c r="L170" s="215"/>
      <c r="M170" s="215"/>
      <c r="N170" s="143"/>
      <c r="O170" s="151"/>
      <c r="P170" s="151"/>
      <c r="Q170" s="151"/>
      <c r="R170" s="151"/>
      <c r="S170" s="151"/>
      <c r="T170" s="151"/>
      <c r="U170" s="151"/>
      <c r="V170" s="151"/>
      <c r="W170" s="151"/>
      <c r="X170" s="151"/>
      <c r="Y170" s="151"/>
      <c r="Z170" s="151"/>
      <c r="AA170" s="151"/>
      <c r="AB170" s="151"/>
      <c r="AC170" s="151"/>
      <c r="AD170" s="152"/>
      <c r="AE170" s="151"/>
      <c r="AF170" s="151"/>
      <c r="AG170" s="151"/>
      <c r="AH170" s="151"/>
      <c r="AI170" s="151"/>
    </row>
    <row r="171" spans="1:35" s="153" customFormat="1" x14ac:dyDescent="0.25">
      <c r="A171" s="990"/>
      <c r="B171" s="405" t="s">
        <v>35</v>
      </c>
      <c r="C171" s="183">
        <f t="shared" si="89"/>
        <v>0</v>
      </c>
      <c r="D171" s="183">
        <f>(D188-D204)*('Scenario data entry'!F34+'Scenario data entry'!F40)</f>
        <v>0</v>
      </c>
      <c r="E171" s="183">
        <f>(E188-E204)*('Scenario data entry'!G34+'Scenario data entry'!G40)</f>
        <v>0</v>
      </c>
      <c r="F171" s="183">
        <f>(F188-F204)*('Scenario data entry'!H34+'Scenario data entry'!H40)</f>
        <v>0</v>
      </c>
      <c r="G171" s="992"/>
      <c r="H171" s="646"/>
      <c r="I171" s="650"/>
      <c r="J171" s="215"/>
      <c r="K171" s="215"/>
      <c r="L171" s="215"/>
      <c r="M171" s="215"/>
      <c r="N171" s="143"/>
      <c r="O171" s="151"/>
      <c r="P171" s="151"/>
      <c r="Q171" s="151"/>
      <c r="R171" s="151"/>
      <c r="S171" s="151"/>
      <c r="T171" s="151"/>
      <c r="U171" s="151"/>
      <c r="V171" s="151"/>
      <c r="W171" s="151"/>
      <c r="X171" s="151"/>
      <c r="Y171" s="151"/>
      <c r="Z171" s="151"/>
      <c r="AA171" s="151"/>
      <c r="AB171" s="151"/>
      <c r="AC171" s="151"/>
      <c r="AD171" s="152"/>
      <c r="AE171" s="151"/>
      <c r="AF171" s="151"/>
      <c r="AG171" s="151"/>
      <c r="AH171" s="151"/>
      <c r="AI171" s="151"/>
    </row>
    <row r="172" spans="1:35" s="153" customFormat="1" x14ac:dyDescent="0.25">
      <c r="A172" s="990"/>
      <c r="B172" s="166" t="s">
        <v>36</v>
      </c>
      <c r="C172" s="183">
        <f t="shared" si="89"/>
        <v>0</v>
      </c>
      <c r="D172" s="183">
        <f>(D189-D205)*('Scenario data entry'!F35+'Scenario data entry'!F41)</f>
        <v>0</v>
      </c>
      <c r="E172" s="183">
        <f>(E189-E205)*('Scenario data entry'!G35+'Scenario data entry'!G41)</f>
        <v>0</v>
      </c>
      <c r="F172" s="183">
        <f>(F189-F205)*('Scenario data entry'!H35+'Scenario data entry'!H41)</f>
        <v>0</v>
      </c>
      <c r="G172" s="992"/>
      <c r="H172" s="646"/>
      <c r="I172" s="650"/>
      <c r="J172" s="215"/>
      <c r="K172" s="215"/>
      <c r="L172" s="215"/>
      <c r="M172" s="215"/>
      <c r="N172" s="143"/>
      <c r="O172" s="151"/>
      <c r="P172" s="151"/>
      <c r="Q172" s="151"/>
      <c r="R172" s="151"/>
      <c r="S172" s="151"/>
      <c r="T172" s="151"/>
      <c r="U172" s="151"/>
      <c r="V172" s="151"/>
      <c r="W172" s="151"/>
      <c r="X172" s="151"/>
      <c r="Y172" s="151"/>
      <c r="Z172" s="151"/>
      <c r="AA172" s="151"/>
      <c r="AB172" s="151"/>
      <c r="AC172" s="151"/>
      <c r="AD172" s="152"/>
      <c r="AE172" s="151"/>
      <c r="AF172" s="151"/>
      <c r="AG172" s="151"/>
      <c r="AH172" s="151"/>
      <c r="AI172" s="151"/>
    </row>
    <row r="173" spans="1:35" s="153" customFormat="1" x14ac:dyDescent="0.25">
      <c r="A173" s="991"/>
      <c r="B173" s="169" t="s">
        <v>107</v>
      </c>
      <c r="C173" s="184" t="e">
        <f>SUM(C167:C172)</f>
        <v>#N/A</v>
      </c>
      <c r="D173" s="184" t="e">
        <f t="shared" ref="D173:E173" si="90">SUM(D167:D172)</f>
        <v>#N/A</v>
      </c>
      <c r="E173" s="184" t="e">
        <f t="shared" si="90"/>
        <v>#N/A</v>
      </c>
      <c r="F173" s="184" t="e">
        <f t="shared" ref="F173" si="91">SUM(F167:F172)</f>
        <v>#N/A</v>
      </c>
      <c r="G173" s="993"/>
      <c r="H173" s="646"/>
      <c r="I173" s="215"/>
      <c r="J173" s="215"/>
      <c r="K173" s="215"/>
      <c r="L173" s="215"/>
      <c r="M173" s="215"/>
      <c r="N173" s="143"/>
      <c r="O173" s="151"/>
      <c r="P173" s="151"/>
      <c r="Q173" s="151"/>
      <c r="R173" s="151"/>
      <c r="S173" s="151"/>
      <c r="T173" s="151"/>
      <c r="U173" s="151"/>
      <c r="V173" s="151"/>
      <c r="W173" s="151"/>
      <c r="X173" s="151"/>
      <c r="Y173" s="151"/>
      <c r="Z173" s="151"/>
      <c r="AA173" s="151"/>
      <c r="AB173" s="151"/>
      <c r="AC173" s="151"/>
      <c r="AD173" s="152"/>
      <c r="AE173" s="151"/>
      <c r="AF173" s="151"/>
      <c r="AG173" s="151"/>
      <c r="AH173" s="151"/>
      <c r="AI173" s="151"/>
    </row>
    <row r="174" spans="1:35" s="154" customFormat="1" x14ac:dyDescent="0.25">
      <c r="A174" s="989" t="s">
        <v>130</v>
      </c>
      <c r="B174" s="171" t="s">
        <v>157</v>
      </c>
      <c r="C174" s="165" t="s">
        <v>143</v>
      </c>
      <c r="D174" s="165" t="s">
        <v>143</v>
      </c>
      <c r="E174" s="165" t="s">
        <v>143</v>
      </c>
      <c r="F174" s="165" t="s">
        <v>143</v>
      </c>
      <c r="G174" s="672"/>
      <c r="H174" s="646"/>
      <c r="I174" s="650"/>
      <c r="J174" s="650"/>
      <c r="K174" s="650"/>
      <c r="L174" s="650"/>
      <c r="M174" s="650"/>
      <c r="N174" s="155"/>
      <c r="O174" s="147"/>
      <c r="P174" s="147"/>
      <c r="Q174" s="147"/>
      <c r="R174" s="147"/>
      <c r="S174" s="147"/>
      <c r="T174" s="147"/>
      <c r="U174" s="147"/>
      <c r="V174" s="147"/>
      <c r="W174" s="147"/>
      <c r="X174" s="147"/>
      <c r="Y174" s="147"/>
      <c r="Z174" s="147"/>
      <c r="AA174" s="147"/>
      <c r="AB174" s="147"/>
      <c r="AC174" s="147"/>
      <c r="AD174" s="156"/>
      <c r="AE174" s="147"/>
      <c r="AF174" s="147"/>
      <c r="AG174" s="147"/>
      <c r="AH174" s="147"/>
      <c r="AI174" s="147"/>
    </row>
    <row r="175" spans="1:35" s="154" customFormat="1" x14ac:dyDescent="0.25">
      <c r="A175" s="990"/>
      <c r="B175" s="177" t="s">
        <v>29</v>
      </c>
      <c r="C175" s="188">
        <f>(C143/(1-C28))*C28</f>
        <v>0</v>
      </c>
      <c r="D175" s="188">
        <v>0</v>
      </c>
      <c r="E175" s="188">
        <v>0</v>
      </c>
      <c r="F175" s="188">
        <v>0</v>
      </c>
      <c r="G175" s="994">
        <f>INDEX(Uncertainty_Factors_Table[Value],MATCH('Baseline data entry'!I70,Uncertainty_factors,0))</f>
        <v>0.33</v>
      </c>
      <c r="H175" s="646"/>
      <c r="I175" s="650"/>
      <c r="J175" s="650"/>
      <c r="K175" s="650"/>
      <c r="L175" s="650"/>
      <c r="M175" s="650"/>
      <c r="N175" s="155"/>
      <c r="O175" s="147"/>
      <c r="P175" s="147"/>
      <c r="Q175" s="147"/>
      <c r="R175" s="147"/>
      <c r="S175" s="147"/>
      <c r="T175" s="147"/>
      <c r="U175" s="147"/>
      <c r="V175" s="147"/>
      <c r="W175" s="147"/>
      <c r="X175" s="147"/>
      <c r="Y175" s="147"/>
      <c r="Z175" s="147"/>
      <c r="AA175" s="147"/>
      <c r="AB175" s="147"/>
      <c r="AC175" s="147"/>
      <c r="AD175" s="156"/>
      <c r="AE175" s="147"/>
      <c r="AF175" s="147"/>
      <c r="AG175" s="147"/>
      <c r="AH175" s="147"/>
      <c r="AI175" s="147"/>
    </row>
    <row r="176" spans="1:35" s="154" customFormat="1" x14ac:dyDescent="0.25">
      <c r="A176" s="990"/>
      <c r="B176" s="166" t="s">
        <v>32</v>
      </c>
      <c r="C176" s="192" t="e">
        <f>(C136/(1-C29))*C29</f>
        <v>#N/A</v>
      </c>
      <c r="D176" s="192" t="e">
        <f>(D168-D104-D128)*D29</f>
        <v>#N/A</v>
      </c>
      <c r="E176" s="192" t="e">
        <f>(E168-E104-E128)*E29</f>
        <v>#N/A</v>
      </c>
      <c r="F176" s="192" t="e">
        <f>(F168-F104-F128)*F29</f>
        <v>#N/A</v>
      </c>
      <c r="G176" s="994"/>
      <c r="H176" s="646"/>
      <c r="I176" s="650"/>
      <c r="J176" s="650"/>
      <c r="K176" s="650"/>
      <c r="L176" s="650"/>
      <c r="M176" s="650"/>
      <c r="N176" s="155"/>
      <c r="O176" s="147"/>
      <c r="P176" s="147"/>
      <c r="Q176" s="147"/>
      <c r="R176" s="147"/>
      <c r="S176" s="147"/>
      <c r="T176" s="147"/>
      <c r="U176" s="147"/>
      <c r="V176" s="147"/>
      <c r="W176" s="147"/>
      <c r="X176" s="147"/>
      <c r="Y176" s="147"/>
      <c r="Z176" s="147"/>
      <c r="AA176" s="147"/>
      <c r="AB176" s="147"/>
      <c r="AC176" s="147"/>
      <c r="AD176" s="156"/>
      <c r="AE176" s="147"/>
      <c r="AF176" s="147"/>
      <c r="AG176" s="147"/>
      <c r="AH176" s="147"/>
      <c r="AI176" s="147"/>
    </row>
    <row r="177" spans="1:35" s="154" customFormat="1" x14ac:dyDescent="0.25">
      <c r="A177" s="990"/>
      <c r="B177" s="177" t="s">
        <v>33</v>
      </c>
      <c r="C177" s="188">
        <f>(C145/(1-C30))*C30</f>
        <v>0</v>
      </c>
      <c r="D177" s="188">
        <v>0</v>
      </c>
      <c r="E177" s="188">
        <v>0</v>
      </c>
      <c r="F177" s="188">
        <v>0</v>
      </c>
      <c r="G177" s="994"/>
      <c r="H177" s="646"/>
      <c r="I177" s="650"/>
      <c r="J177" s="650"/>
      <c r="K177" s="650"/>
      <c r="L177" s="650"/>
      <c r="M177" s="650"/>
      <c r="N177" s="155"/>
      <c r="O177" s="147"/>
      <c r="P177" s="147"/>
      <c r="Q177" s="147"/>
      <c r="R177" s="147"/>
      <c r="S177" s="147"/>
      <c r="T177" s="147"/>
      <c r="U177" s="147"/>
      <c r="V177" s="147"/>
      <c r="W177" s="147"/>
      <c r="X177" s="147"/>
      <c r="Y177" s="147"/>
      <c r="Z177" s="147"/>
      <c r="AA177" s="147"/>
      <c r="AB177" s="147"/>
      <c r="AC177" s="147"/>
      <c r="AD177" s="156"/>
      <c r="AE177" s="147"/>
      <c r="AF177" s="147"/>
      <c r="AG177" s="147"/>
      <c r="AH177" s="147"/>
      <c r="AI177" s="147"/>
    </row>
    <row r="178" spans="1:35" s="154" customFormat="1" x14ac:dyDescent="0.25">
      <c r="A178" s="990"/>
      <c r="B178" s="177" t="s">
        <v>34</v>
      </c>
      <c r="C178" s="188">
        <f>(C146/(1-C31))*C31</f>
        <v>0</v>
      </c>
      <c r="D178" s="188">
        <v>0</v>
      </c>
      <c r="E178" s="188">
        <v>0</v>
      </c>
      <c r="F178" s="188">
        <v>0</v>
      </c>
      <c r="G178" s="994"/>
      <c r="H178" s="646"/>
      <c r="I178" s="650"/>
      <c r="J178" s="650"/>
      <c r="K178" s="650"/>
      <c r="L178" s="650"/>
      <c r="M178" s="650"/>
      <c r="N178" s="155"/>
      <c r="O178" s="147"/>
      <c r="P178" s="147"/>
      <c r="Q178" s="147"/>
      <c r="R178" s="147"/>
      <c r="S178" s="147"/>
      <c r="T178" s="147"/>
      <c r="U178" s="147"/>
      <c r="V178" s="147"/>
      <c r="W178" s="147"/>
      <c r="X178" s="147"/>
      <c r="Y178" s="147"/>
      <c r="Z178" s="147"/>
      <c r="AA178" s="147"/>
      <c r="AB178" s="147"/>
      <c r="AC178" s="147"/>
      <c r="AD178" s="156"/>
      <c r="AE178" s="147"/>
      <c r="AF178" s="147"/>
      <c r="AG178" s="147"/>
      <c r="AH178" s="147"/>
      <c r="AI178" s="147"/>
    </row>
    <row r="179" spans="1:35" s="154" customFormat="1" x14ac:dyDescent="0.25">
      <c r="A179" s="990"/>
      <c r="B179" s="177" t="s">
        <v>35</v>
      </c>
      <c r="C179" s="188">
        <f>(C147/(1-C32))*C32</f>
        <v>0</v>
      </c>
      <c r="D179" s="188">
        <v>0</v>
      </c>
      <c r="E179" s="188">
        <v>0</v>
      </c>
      <c r="F179" s="188">
        <v>0</v>
      </c>
      <c r="G179" s="994"/>
      <c r="H179" s="646"/>
      <c r="I179" s="650"/>
      <c r="J179" s="650"/>
      <c r="K179" s="650"/>
      <c r="L179" s="650"/>
      <c r="M179" s="650"/>
      <c r="N179" s="155"/>
      <c r="O179" s="147"/>
      <c r="P179" s="147"/>
      <c r="Q179" s="147"/>
      <c r="R179" s="147"/>
      <c r="S179" s="147"/>
      <c r="T179" s="147"/>
      <c r="U179" s="147"/>
      <c r="V179" s="147"/>
      <c r="W179" s="147"/>
      <c r="X179" s="147"/>
      <c r="Y179" s="147"/>
      <c r="Z179" s="147"/>
      <c r="AA179" s="147"/>
      <c r="AB179" s="147"/>
      <c r="AC179" s="147"/>
      <c r="AD179" s="156"/>
      <c r="AE179" s="147"/>
      <c r="AF179" s="147"/>
      <c r="AG179" s="147"/>
      <c r="AH179" s="147"/>
      <c r="AI179" s="147"/>
    </row>
    <row r="180" spans="1:35" s="154" customFormat="1" x14ac:dyDescent="0.25">
      <c r="A180" s="990"/>
      <c r="B180" s="177" t="s">
        <v>36</v>
      </c>
      <c r="C180" s="188">
        <f>(C148/(1-C33))*C33</f>
        <v>0</v>
      </c>
      <c r="D180" s="188">
        <v>0</v>
      </c>
      <c r="E180" s="188">
        <v>0</v>
      </c>
      <c r="F180" s="188">
        <v>0</v>
      </c>
      <c r="G180" s="994"/>
      <c r="H180" s="646"/>
      <c r="I180" s="650"/>
      <c r="J180" s="650"/>
      <c r="K180" s="650"/>
      <c r="L180" s="650"/>
      <c r="M180" s="650"/>
      <c r="N180" s="155"/>
      <c r="O180" s="147"/>
      <c r="P180" s="147"/>
      <c r="Q180" s="147"/>
      <c r="R180" s="147"/>
      <c r="S180" s="147"/>
      <c r="T180" s="147"/>
      <c r="U180" s="147"/>
      <c r="V180" s="147"/>
      <c r="W180" s="147"/>
      <c r="X180" s="147"/>
      <c r="Y180" s="147"/>
      <c r="Z180" s="147"/>
      <c r="AA180" s="147"/>
      <c r="AB180" s="147"/>
      <c r="AC180" s="147"/>
      <c r="AD180" s="156"/>
      <c r="AE180" s="147"/>
      <c r="AF180" s="147"/>
      <c r="AG180" s="147"/>
      <c r="AH180" s="147"/>
      <c r="AI180" s="147"/>
    </row>
    <row r="181" spans="1:35" s="154" customFormat="1" x14ac:dyDescent="0.25">
      <c r="A181" s="991"/>
      <c r="B181" s="169" t="s">
        <v>107</v>
      </c>
      <c r="C181" s="184" t="e">
        <f>SUM(C175:C180)</f>
        <v>#N/A</v>
      </c>
      <c r="D181" s="184" t="e">
        <f t="shared" ref="D181:F181" si="92">SUM(D175:D180)</f>
        <v>#N/A</v>
      </c>
      <c r="E181" s="184" t="e">
        <f t="shared" si="92"/>
        <v>#N/A</v>
      </c>
      <c r="F181" s="184" t="e">
        <f t="shared" si="92"/>
        <v>#N/A</v>
      </c>
      <c r="G181" s="995"/>
      <c r="H181" s="646"/>
      <c r="I181" s="650"/>
      <c r="J181" s="650"/>
      <c r="K181" s="650"/>
      <c r="L181" s="650"/>
      <c r="M181" s="650"/>
      <c r="N181" s="155"/>
      <c r="O181" s="147"/>
      <c r="P181" s="147"/>
      <c r="Q181" s="147"/>
      <c r="R181" s="147"/>
      <c r="S181" s="147"/>
      <c r="T181" s="147"/>
      <c r="U181" s="147"/>
      <c r="V181" s="147"/>
      <c r="W181" s="147"/>
      <c r="X181" s="147"/>
      <c r="Y181" s="147"/>
      <c r="Z181" s="147"/>
      <c r="AA181" s="147"/>
      <c r="AB181" s="147"/>
      <c r="AC181" s="147"/>
      <c r="AD181" s="156"/>
      <c r="AE181" s="147"/>
      <c r="AF181" s="147"/>
      <c r="AG181" s="147"/>
      <c r="AH181" s="147"/>
      <c r="AI181" s="147"/>
    </row>
    <row r="182" spans="1:35" s="154" customFormat="1" ht="18.75" x14ac:dyDescent="0.3">
      <c r="A182" s="180" t="s">
        <v>158</v>
      </c>
      <c r="B182" s="181"/>
      <c r="C182" s="182"/>
      <c r="D182" s="182"/>
      <c r="E182" s="182"/>
      <c r="F182" s="182"/>
      <c r="G182" s="673"/>
      <c r="H182" s="646"/>
      <c r="I182" s="650"/>
      <c r="J182" s="650"/>
      <c r="K182" s="650"/>
      <c r="L182" s="650"/>
      <c r="M182" s="650"/>
      <c r="N182" s="155"/>
      <c r="O182" s="147"/>
      <c r="P182" s="147"/>
      <c r="Q182" s="147"/>
      <c r="R182" s="147"/>
      <c r="S182" s="147"/>
      <c r="T182" s="147"/>
      <c r="U182" s="147"/>
      <c r="V182" s="147"/>
      <c r="W182" s="147"/>
      <c r="X182" s="147"/>
      <c r="Y182" s="147"/>
      <c r="Z182" s="147"/>
      <c r="AA182" s="147"/>
      <c r="AB182" s="147"/>
      <c r="AC182" s="147"/>
      <c r="AD182" s="156"/>
      <c r="AE182" s="147"/>
      <c r="AF182" s="147"/>
      <c r="AG182" s="147"/>
      <c r="AH182" s="147"/>
      <c r="AI182" s="147"/>
    </row>
    <row r="183" spans="1:35" s="154" customFormat="1" x14ac:dyDescent="0.25">
      <c r="A183" s="989" t="s">
        <v>159</v>
      </c>
      <c r="B183" s="164" t="s">
        <v>160</v>
      </c>
      <c r="C183" s="165" t="s">
        <v>143</v>
      </c>
      <c r="D183" s="165" t="s">
        <v>143</v>
      </c>
      <c r="E183" s="165" t="s">
        <v>143</v>
      </c>
      <c r="F183" s="165" t="s">
        <v>143</v>
      </c>
      <c r="G183" s="675"/>
      <c r="H183" s="646"/>
      <c r="I183" s="650"/>
      <c r="J183" s="650"/>
      <c r="K183" s="650"/>
      <c r="L183" s="650"/>
      <c r="M183" s="650"/>
      <c r="N183" s="155"/>
      <c r="O183" s="147"/>
      <c r="P183" s="147"/>
      <c r="Q183" s="147"/>
      <c r="R183" s="147"/>
      <c r="S183" s="147"/>
      <c r="T183" s="147"/>
      <c r="U183" s="147"/>
      <c r="V183" s="147"/>
      <c r="W183" s="147"/>
      <c r="X183" s="147"/>
      <c r="Y183" s="147"/>
      <c r="Z183" s="147"/>
      <c r="AA183" s="147"/>
      <c r="AB183" s="147"/>
      <c r="AC183" s="147"/>
      <c r="AD183" s="156"/>
      <c r="AE183" s="147"/>
      <c r="AF183" s="147"/>
      <c r="AG183" s="147"/>
      <c r="AH183" s="147"/>
      <c r="AI183" s="147"/>
    </row>
    <row r="184" spans="1:35" s="154" customFormat="1" x14ac:dyDescent="0.25">
      <c r="A184" s="990"/>
      <c r="B184" s="166" t="s">
        <v>29</v>
      </c>
      <c r="C184" s="183">
        <f>(C167+C86)/(1-C44)</f>
        <v>0</v>
      </c>
      <c r="D184" s="717">
        <f>IF((D217*'Scenario data entry'!F$23)-Calculations!D192&gt;0,(D217*'Scenario data entry'!F$23),0)</f>
        <v>0</v>
      </c>
      <c r="E184" s="717">
        <f>IF((E217*'Scenario data entry'!G$23)-Calculations!E192&gt;0,(E217*'Scenario data entry'!G$23),0)</f>
        <v>0</v>
      </c>
      <c r="F184" s="717">
        <f>IF((F217*'Scenario data entry'!H$23)-Calculations!F192&gt;0,(F217*'Scenario data entry'!H$23),0)</f>
        <v>0</v>
      </c>
      <c r="G184" s="992" t="e">
        <f>((C173/(C173+C206))*G167)+((C206/(C173+C206))*G200)</f>
        <v>#N/A</v>
      </c>
      <c r="H184" s="646"/>
      <c r="I184" s="650"/>
      <c r="J184" s="650"/>
      <c r="K184" s="650"/>
      <c r="L184" s="650"/>
      <c r="M184" s="650"/>
      <c r="N184" s="155"/>
      <c r="O184" s="147"/>
      <c r="P184" s="147"/>
      <c r="Q184" s="147"/>
      <c r="R184" s="147"/>
      <c r="S184" s="147"/>
      <c r="T184" s="147"/>
      <c r="U184" s="147"/>
      <c r="V184" s="147"/>
      <c r="W184" s="147"/>
      <c r="X184" s="147"/>
      <c r="Y184" s="147"/>
      <c r="Z184" s="147"/>
      <c r="AA184" s="147"/>
      <c r="AB184" s="147"/>
      <c r="AC184" s="147"/>
      <c r="AD184" s="156"/>
      <c r="AE184" s="147"/>
      <c r="AF184" s="147"/>
      <c r="AG184" s="147"/>
      <c r="AH184" s="147"/>
      <c r="AI184" s="147"/>
    </row>
    <row r="185" spans="1:35" s="154" customFormat="1" x14ac:dyDescent="0.25">
      <c r="A185" s="990"/>
      <c r="B185" s="166" t="s">
        <v>32</v>
      </c>
      <c r="C185" s="183" t="e">
        <f>(C168+C87)/(1-C45)</f>
        <v>#N/A</v>
      </c>
      <c r="D185" s="717">
        <f>IF((D218*'Scenario data entry'!F$23)-Calculations!D193&gt;0,(D218*'Scenario data entry'!F$23),0)</f>
        <v>0</v>
      </c>
      <c r="E185" s="717">
        <f>IF((E218*'Scenario data entry'!G$23)-Calculations!E193&gt;0,(E218*'Scenario data entry'!G$23),0)</f>
        <v>0</v>
      </c>
      <c r="F185" s="717">
        <f>IF((F218*'Scenario data entry'!H$23)-Calculations!F193&gt;0,(F218*'Scenario data entry'!H$23),0)</f>
        <v>0</v>
      </c>
      <c r="G185" s="992"/>
      <c r="H185" s="646"/>
      <c r="I185" s="650"/>
      <c r="J185" s="650"/>
      <c r="K185" s="650"/>
      <c r="L185" s="650"/>
      <c r="M185" s="650"/>
      <c r="N185" s="155"/>
      <c r="O185" s="147"/>
      <c r="P185" s="147"/>
      <c r="Q185" s="147"/>
      <c r="R185" s="147"/>
      <c r="S185" s="147"/>
      <c r="T185" s="147"/>
      <c r="U185" s="147"/>
      <c r="V185" s="147"/>
      <c r="W185" s="147"/>
      <c r="X185" s="147"/>
      <c r="Y185" s="147"/>
      <c r="Z185" s="147"/>
      <c r="AA185" s="147"/>
      <c r="AB185" s="147"/>
      <c r="AC185" s="147"/>
      <c r="AD185" s="156"/>
      <c r="AE185" s="147"/>
      <c r="AF185" s="147"/>
      <c r="AG185" s="147"/>
      <c r="AH185" s="147"/>
      <c r="AI185" s="147"/>
    </row>
    <row r="186" spans="1:35" x14ac:dyDescent="0.25">
      <c r="A186" s="990"/>
      <c r="B186" s="166" t="s">
        <v>33</v>
      </c>
      <c r="C186" s="183">
        <f t="shared" ref="C186:C189" si="93">(C169+C88)/(1-C46)</f>
        <v>0</v>
      </c>
      <c r="D186" s="717">
        <f>IF((D219*'Scenario data entry'!F$23)-Calculations!D194&gt;0,(D219*'Scenario data entry'!F$23),0)</f>
        <v>0</v>
      </c>
      <c r="E186" s="717">
        <f>IF((E219*'Scenario data entry'!G$23)-Calculations!E194&gt;0,(E219*'Scenario data entry'!G$23),0)</f>
        <v>0</v>
      </c>
      <c r="F186" s="717">
        <f>IF((F219*'Scenario data entry'!H$23)-Calculations!F194&gt;0,(F219*'Scenario data entry'!H$23),0)</f>
        <v>0</v>
      </c>
      <c r="G186" s="992"/>
      <c r="H186" s="646"/>
      <c r="I186" s="650"/>
      <c r="J186" s="650"/>
      <c r="K186" s="215"/>
      <c r="L186" s="215"/>
      <c r="M186" s="215"/>
    </row>
    <row r="187" spans="1:35" x14ac:dyDescent="0.25">
      <c r="A187" s="990"/>
      <c r="B187" s="166" t="s">
        <v>34</v>
      </c>
      <c r="C187" s="183">
        <f t="shared" si="93"/>
        <v>0</v>
      </c>
      <c r="D187" s="717">
        <f>IF((D220*'Scenario data entry'!F$23)-Calculations!D195&gt;0,(D220*'Scenario data entry'!F$23),0)</f>
        <v>0</v>
      </c>
      <c r="E187" s="717">
        <f>IF((E220*'Scenario data entry'!G$23)-Calculations!E195&gt;0,(E220*'Scenario data entry'!G$23),0)</f>
        <v>0</v>
      </c>
      <c r="F187" s="717">
        <f>IF((F220*'Scenario data entry'!H$23)-Calculations!F195&gt;0,(F220*'Scenario data entry'!H$23),0)</f>
        <v>0</v>
      </c>
      <c r="G187" s="992"/>
      <c r="H187" s="646"/>
      <c r="I187" s="650"/>
      <c r="J187" s="650"/>
      <c r="K187" s="215"/>
      <c r="L187" s="215"/>
      <c r="M187" s="215"/>
    </row>
    <row r="188" spans="1:35" x14ac:dyDescent="0.25">
      <c r="A188" s="990"/>
      <c r="B188" s="405" t="s">
        <v>35</v>
      </c>
      <c r="C188" s="183">
        <f t="shared" si="93"/>
        <v>0</v>
      </c>
      <c r="D188" s="717">
        <f>IF((D221*'Scenario data entry'!F$23)-Calculations!D196&gt;0,(D221*'Scenario data entry'!F$23),0)</f>
        <v>0</v>
      </c>
      <c r="E188" s="717">
        <f>IF((E221*'Scenario data entry'!G$23)-Calculations!E196&gt;0,(E221*'Scenario data entry'!G$23),0)</f>
        <v>0</v>
      </c>
      <c r="F188" s="717">
        <f>IF((F221*'Scenario data entry'!H$23)-Calculations!F196&gt;0,(F221*'Scenario data entry'!H$23),0)</f>
        <v>0</v>
      </c>
      <c r="G188" s="992"/>
      <c r="H188" s="646"/>
      <c r="I188" s="650"/>
      <c r="J188" s="650"/>
      <c r="K188" s="215"/>
      <c r="L188" s="215"/>
      <c r="M188" s="215"/>
    </row>
    <row r="189" spans="1:35" x14ac:dyDescent="0.25">
      <c r="A189" s="990"/>
      <c r="B189" s="166" t="s">
        <v>36</v>
      </c>
      <c r="C189" s="183">
        <f t="shared" si="93"/>
        <v>0</v>
      </c>
      <c r="D189" s="717">
        <f>IF((D222*'Scenario data entry'!F$23)-Calculations!D197&gt;0,(D222*'Scenario data entry'!F$23),0)</f>
        <v>0</v>
      </c>
      <c r="E189" s="717">
        <f>IF((E222*'Scenario data entry'!G$23)-Calculations!E197&gt;0,(E222*'Scenario data entry'!G$23),0)</f>
        <v>0</v>
      </c>
      <c r="F189" s="717">
        <f>IF((F222*'Scenario data entry'!H$23)-Calculations!F197&gt;0,(F222*'Scenario data entry'!H$23),0)</f>
        <v>0</v>
      </c>
      <c r="G189" s="992"/>
      <c r="H189" s="646"/>
      <c r="I189" s="650"/>
      <c r="J189" s="650"/>
      <c r="K189" s="215"/>
      <c r="L189" s="215"/>
      <c r="M189" s="215"/>
    </row>
    <row r="190" spans="1:35" x14ac:dyDescent="0.25">
      <c r="A190" s="991"/>
      <c r="B190" s="169" t="s">
        <v>107</v>
      </c>
      <c r="C190" s="184" t="e">
        <f>SUM(C184:C189)</f>
        <v>#N/A</v>
      </c>
      <c r="D190" s="184">
        <f t="shared" ref="D190:E190" si="94">SUM(D184:D189)</f>
        <v>0</v>
      </c>
      <c r="E190" s="184">
        <f t="shared" si="94"/>
        <v>0</v>
      </c>
      <c r="F190" s="184">
        <f t="shared" ref="F190" si="95">SUM(F184:F189)</f>
        <v>0</v>
      </c>
      <c r="G190" s="993"/>
      <c r="H190" s="646"/>
      <c r="I190" s="650"/>
      <c r="J190" s="650"/>
      <c r="K190" s="215"/>
      <c r="L190" s="215"/>
      <c r="M190" s="215"/>
    </row>
    <row r="191" spans="1:35" x14ac:dyDescent="0.25">
      <c r="A191" s="989" t="s">
        <v>161</v>
      </c>
      <c r="B191" s="415" t="s">
        <v>294</v>
      </c>
      <c r="C191" s="165" t="s">
        <v>143</v>
      </c>
      <c r="D191" s="165" t="s">
        <v>143</v>
      </c>
      <c r="E191" s="165" t="s">
        <v>143</v>
      </c>
      <c r="F191" s="165" t="s">
        <v>143</v>
      </c>
      <c r="G191" s="675"/>
      <c r="H191" s="646"/>
      <c r="I191" s="650"/>
      <c r="J191" s="650"/>
      <c r="K191" s="215"/>
      <c r="L191" s="215"/>
      <c r="M191" s="215"/>
    </row>
    <row r="192" spans="1:35" x14ac:dyDescent="0.25">
      <c r="A192" s="990"/>
      <c r="B192" s="166" t="s">
        <v>29</v>
      </c>
      <c r="C192" s="183">
        <f>(C151/(1-C36))</f>
        <v>0</v>
      </c>
      <c r="D192" s="183">
        <f>D217*'Scenario data entry'!F24</f>
        <v>0</v>
      </c>
      <c r="E192" s="183">
        <f>E217*'Scenario data entry'!G24</f>
        <v>0</v>
      </c>
      <c r="F192" s="183">
        <f>F217*'Scenario data entry'!H24</f>
        <v>0</v>
      </c>
      <c r="G192" s="992" t="e">
        <f>((C157/(C157+C214))*G151)+((C214/(C157+C214))*G208)</f>
        <v>#N/A</v>
      </c>
      <c r="H192" s="646"/>
      <c r="I192" s="650"/>
      <c r="J192" s="650"/>
      <c r="K192" s="215"/>
      <c r="L192" s="215"/>
      <c r="M192" s="215"/>
    </row>
    <row r="193" spans="1:70" x14ac:dyDescent="0.25">
      <c r="A193" s="990"/>
      <c r="B193" s="166" t="s">
        <v>32</v>
      </c>
      <c r="C193" s="183" t="e">
        <f t="shared" ref="C193:C197" si="96">(C152/(1-C37))</f>
        <v>#N/A</v>
      </c>
      <c r="D193" s="183">
        <f>D218*'Scenario data entry'!F25</f>
        <v>0</v>
      </c>
      <c r="E193" s="183">
        <f>E218*'Scenario data entry'!G25</f>
        <v>0</v>
      </c>
      <c r="F193" s="183">
        <f>F218*'Scenario data entry'!H25</f>
        <v>0</v>
      </c>
      <c r="G193" s="992"/>
      <c r="H193" s="646"/>
      <c r="I193" s="650"/>
      <c r="J193" s="650"/>
      <c r="K193" s="215"/>
      <c r="L193" s="215"/>
      <c r="M193" s="215"/>
    </row>
    <row r="194" spans="1:70" x14ac:dyDescent="0.25">
      <c r="A194" s="990"/>
      <c r="B194" s="166" t="s">
        <v>33</v>
      </c>
      <c r="C194" s="183">
        <f t="shared" si="96"/>
        <v>0</v>
      </c>
      <c r="D194" s="183">
        <f>D219*'Scenario data entry'!F26</f>
        <v>0</v>
      </c>
      <c r="E194" s="183">
        <f>E219*'Scenario data entry'!G26</f>
        <v>0</v>
      </c>
      <c r="F194" s="183">
        <f>F219*'Scenario data entry'!H26</f>
        <v>0</v>
      </c>
      <c r="G194" s="992"/>
      <c r="H194" s="646"/>
      <c r="I194" s="650"/>
      <c r="J194" s="650"/>
      <c r="K194" s="215"/>
      <c r="L194" s="215"/>
      <c r="M194" s="215"/>
    </row>
    <row r="195" spans="1:70" s="143" customFormat="1" x14ac:dyDescent="0.25">
      <c r="A195" s="990"/>
      <c r="B195" s="166" t="s">
        <v>34</v>
      </c>
      <c r="C195" s="183">
        <f t="shared" si="96"/>
        <v>0</v>
      </c>
      <c r="D195" s="183">
        <f>D220*'Scenario data entry'!F27</f>
        <v>0</v>
      </c>
      <c r="E195" s="183">
        <f>E220*'Scenario data entry'!G27</f>
        <v>0</v>
      </c>
      <c r="F195" s="183">
        <f>F220*'Scenario data entry'!H27</f>
        <v>0</v>
      </c>
      <c r="G195" s="992"/>
      <c r="H195" s="646"/>
      <c r="I195" s="650"/>
      <c r="J195" s="650"/>
      <c r="K195" s="215"/>
      <c r="L195" s="215"/>
      <c r="M195" s="215"/>
      <c r="O195" s="144"/>
      <c r="P195" s="144"/>
      <c r="Q195" s="144"/>
      <c r="R195" s="144"/>
      <c r="S195" s="144"/>
      <c r="T195" s="144"/>
      <c r="U195" s="144"/>
      <c r="V195" s="144"/>
      <c r="W195" s="144"/>
      <c r="X195" s="144"/>
      <c r="Y195" s="144"/>
      <c r="Z195" s="144"/>
      <c r="AA195" s="144"/>
      <c r="AB195" s="144"/>
      <c r="AC195" s="144"/>
      <c r="AD195" s="144"/>
      <c r="AE195" s="144"/>
      <c r="AF195" s="144"/>
      <c r="AG195" s="144"/>
      <c r="AH195" s="144"/>
      <c r="AI195" s="144"/>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row>
    <row r="196" spans="1:70" s="143" customFormat="1" x14ac:dyDescent="0.25">
      <c r="A196" s="990"/>
      <c r="B196" s="405" t="s">
        <v>35</v>
      </c>
      <c r="C196" s="183">
        <f t="shared" si="96"/>
        <v>0</v>
      </c>
      <c r="D196" s="183">
        <f>D221*'Scenario data entry'!F28</f>
        <v>0</v>
      </c>
      <c r="E196" s="183">
        <f>E221*'Scenario data entry'!G28</f>
        <v>0</v>
      </c>
      <c r="F196" s="183">
        <f>F221*'Scenario data entry'!H28</f>
        <v>0</v>
      </c>
      <c r="G196" s="992"/>
      <c r="H196" s="646"/>
      <c r="I196" s="650"/>
      <c r="J196" s="650"/>
      <c r="K196" s="215"/>
      <c r="L196" s="215"/>
      <c r="M196" s="215"/>
      <c r="O196" s="144"/>
      <c r="P196" s="144"/>
      <c r="Q196" s="144"/>
      <c r="R196" s="144"/>
      <c r="S196" s="144"/>
      <c r="T196" s="144"/>
      <c r="U196" s="144"/>
      <c r="V196" s="144"/>
      <c r="W196" s="144"/>
      <c r="X196" s="144"/>
      <c r="Y196" s="144"/>
      <c r="Z196" s="144"/>
      <c r="AA196" s="144"/>
      <c r="AB196" s="144"/>
      <c r="AC196" s="144"/>
      <c r="AD196" s="144"/>
      <c r="AE196" s="144"/>
      <c r="AF196" s="144"/>
      <c r="AG196" s="144"/>
      <c r="AH196" s="144"/>
      <c r="AI196" s="144"/>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row>
    <row r="197" spans="1:70" s="143" customFormat="1" x14ac:dyDescent="0.25">
      <c r="A197" s="990"/>
      <c r="B197" s="166" t="s">
        <v>36</v>
      </c>
      <c r="C197" s="183">
        <f t="shared" si="96"/>
        <v>0</v>
      </c>
      <c r="D197" s="183">
        <f>D222*'Scenario data entry'!F29</f>
        <v>0</v>
      </c>
      <c r="E197" s="183">
        <f>E222*'Scenario data entry'!G29</f>
        <v>0</v>
      </c>
      <c r="F197" s="183">
        <f>F222*'Scenario data entry'!H29</f>
        <v>0</v>
      </c>
      <c r="G197" s="992"/>
      <c r="H197" s="646"/>
      <c r="I197" s="650"/>
      <c r="J197" s="650"/>
      <c r="K197" s="215"/>
      <c r="L197" s="215"/>
      <c r="M197" s="215"/>
      <c r="O197" s="144"/>
      <c r="P197" s="144"/>
      <c r="Q197" s="144"/>
      <c r="R197" s="144"/>
      <c r="S197" s="144"/>
      <c r="T197" s="144"/>
      <c r="U197" s="144"/>
      <c r="V197" s="144"/>
      <c r="W197" s="144"/>
      <c r="X197" s="144"/>
      <c r="Y197" s="144"/>
      <c r="Z197" s="144"/>
      <c r="AA197" s="144"/>
      <c r="AB197" s="144"/>
      <c r="AC197" s="144"/>
      <c r="AD197" s="144"/>
      <c r="AE197" s="144"/>
      <c r="AF197" s="144"/>
      <c r="AG197" s="144"/>
      <c r="AH197" s="144"/>
      <c r="AI197" s="144"/>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row>
    <row r="198" spans="1:70" s="143" customFormat="1" x14ac:dyDescent="0.25">
      <c r="A198" s="991"/>
      <c r="B198" s="169" t="s">
        <v>107</v>
      </c>
      <c r="C198" s="184" t="e">
        <f>SUM(C192:C197)</f>
        <v>#N/A</v>
      </c>
      <c r="D198" s="184">
        <f t="shared" ref="D198:E198" si="97">SUM(D192:D197)</f>
        <v>0</v>
      </c>
      <c r="E198" s="184">
        <f t="shared" si="97"/>
        <v>0</v>
      </c>
      <c r="F198" s="184">
        <f t="shared" ref="F198" si="98">SUM(F192:F197)</f>
        <v>0</v>
      </c>
      <c r="G198" s="993"/>
      <c r="H198" s="646"/>
      <c r="I198" s="650"/>
      <c r="J198" s="650"/>
      <c r="K198" s="215"/>
      <c r="L198" s="215"/>
      <c r="M198" s="215"/>
      <c r="O198" s="144"/>
      <c r="P198" s="144"/>
      <c r="Q198" s="144"/>
      <c r="R198" s="144"/>
      <c r="S198" s="144"/>
      <c r="T198" s="144"/>
      <c r="U198" s="144"/>
      <c r="V198" s="144"/>
      <c r="W198" s="144"/>
      <c r="X198" s="144"/>
      <c r="Y198" s="144"/>
      <c r="Z198" s="144"/>
      <c r="AA198" s="144"/>
      <c r="AB198" s="144"/>
      <c r="AC198" s="144"/>
      <c r="AD198" s="144"/>
      <c r="AE198" s="144"/>
      <c r="AF198" s="144"/>
      <c r="AG198" s="144"/>
      <c r="AH198" s="144"/>
      <c r="AI198" s="144"/>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row>
    <row r="199" spans="1:70" s="143" customFormat="1" x14ac:dyDescent="0.25">
      <c r="A199" s="989" t="s">
        <v>137</v>
      </c>
      <c r="B199" s="171" t="s">
        <v>138</v>
      </c>
      <c r="C199" s="165" t="s">
        <v>143</v>
      </c>
      <c r="D199" s="165" t="s">
        <v>143</v>
      </c>
      <c r="E199" s="165" t="s">
        <v>143</v>
      </c>
      <c r="F199" s="165" t="s">
        <v>143</v>
      </c>
      <c r="G199" s="672"/>
      <c r="H199" s="646"/>
      <c r="I199" s="650"/>
      <c r="J199" s="650"/>
      <c r="K199" s="215"/>
      <c r="L199" s="215"/>
      <c r="M199" s="215"/>
      <c r="O199" s="144"/>
      <c r="P199" s="144"/>
      <c r="Q199" s="144"/>
      <c r="R199" s="144"/>
      <c r="S199" s="144"/>
      <c r="T199" s="144"/>
      <c r="U199" s="144"/>
      <c r="V199" s="144"/>
      <c r="W199" s="144"/>
      <c r="X199" s="144"/>
      <c r="Y199" s="144"/>
      <c r="Z199" s="144"/>
      <c r="AA199" s="144"/>
      <c r="AB199" s="144"/>
      <c r="AC199" s="144"/>
      <c r="AD199" s="144"/>
      <c r="AE199" s="144"/>
      <c r="AF199" s="144"/>
      <c r="AG199" s="144"/>
      <c r="AH199" s="144"/>
      <c r="AI199" s="144"/>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row>
    <row r="200" spans="1:70" x14ac:dyDescent="0.25">
      <c r="A200" s="990"/>
      <c r="B200" s="177" t="s">
        <v>29</v>
      </c>
      <c r="C200" s="188">
        <f t="shared" ref="C200:F205" si="99">C184*C44</f>
        <v>0</v>
      </c>
      <c r="D200" s="188">
        <f t="shared" si="99"/>
        <v>0</v>
      </c>
      <c r="E200" s="188">
        <f t="shared" si="99"/>
        <v>0</v>
      </c>
      <c r="F200" s="188">
        <f t="shared" si="99"/>
        <v>0</v>
      </c>
      <c r="G200" s="994">
        <f>INDEX(Uncertainty_Factors_Table[Value],MATCH('Baseline data entry'!I64,Uncertainty_factors,0))</f>
        <v>0.66</v>
      </c>
      <c r="H200" s="644"/>
      <c r="I200" s="650"/>
      <c r="J200" s="650"/>
      <c r="K200" s="215"/>
      <c r="L200" s="215"/>
      <c r="M200" s="215"/>
    </row>
    <row r="201" spans="1:70" x14ac:dyDescent="0.25">
      <c r="A201" s="990"/>
      <c r="B201" s="166" t="s">
        <v>32</v>
      </c>
      <c r="C201" s="189" t="e">
        <f t="shared" si="99"/>
        <v>#N/A</v>
      </c>
      <c r="D201" s="189" t="e">
        <f t="shared" si="99"/>
        <v>#N/A</v>
      </c>
      <c r="E201" s="189" t="e">
        <f t="shared" si="99"/>
        <v>#N/A</v>
      </c>
      <c r="F201" s="189" t="e">
        <f t="shared" si="99"/>
        <v>#N/A</v>
      </c>
      <c r="G201" s="994"/>
      <c r="H201" s="644"/>
      <c r="I201" s="650"/>
      <c r="J201" s="650"/>
      <c r="K201" s="215"/>
      <c r="L201" s="215"/>
      <c r="M201" s="215"/>
    </row>
    <row r="202" spans="1:70" x14ac:dyDescent="0.25">
      <c r="A202" s="990"/>
      <c r="B202" s="177" t="s">
        <v>33</v>
      </c>
      <c r="C202" s="188">
        <f t="shared" si="99"/>
        <v>0</v>
      </c>
      <c r="D202" s="188">
        <f t="shared" si="99"/>
        <v>0</v>
      </c>
      <c r="E202" s="188">
        <f t="shared" si="99"/>
        <v>0</v>
      </c>
      <c r="F202" s="188">
        <f t="shared" si="99"/>
        <v>0</v>
      </c>
      <c r="G202" s="994"/>
      <c r="H202" s="644"/>
      <c r="I202" s="650"/>
      <c r="J202" s="650"/>
      <c r="K202" s="215"/>
      <c r="L202" s="215"/>
      <c r="M202" s="215"/>
    </row>
    <row r="203" spans="1:70" x14ac:dyDescent="0.25">
      <c r="A203" s="990"/>
      <c r="B203" s="177" t="s">
        <v>34</v>
      </c>
      <c r="C203" s="188">
        <f t="shared" si="99"/>
        <v>0</v>
      </c>
      <c r="D203" s="188">
        <f t="shared" si="99"/>
        <v>0</v>
      </c>
      <c r="E203" s="188">
        <f t="shared" si="99"/>
        <v>0</v>
      </c>
      <c r="F203" s="188">
        <f t="shared" si="99"/>
        <v>0</v>
      </c>
      <c r="G203" s="994"/>
      <c r="H203" s="644"/>
      <c r="I203" s="650"/>
      <c r="J203" s="650"/>
      <c r="K203" s="215"/>
      <c r="L203" s="215"/>
      <c r="M203" s="215"/>
    </row>
    <row r="204" spans="1:70" x14ac:dyDescent="0.25">
      <c r="A204" s="990"/>
      <c r="B204" s="177" t="s">
        <v>35</v>
      </c>
      <c r="C204" s="188">
        <f t="shared" si="99"/>
        <v>0</v>
      </c>
      <c r="D204" s="188">
        <f t="shared" si="99"/>
        <v>0</v>
      </c>
      <c r="E204" s="188">
        <f t="shared" si="99"/>
        <v>0</v>
      </c>
      <c r="F204" s="188">
        <f t="shared" si="99"/>
        <v>0</v>
      </c>
      <c r="G204" s="994"/>
      <c r="H204" s="644"/>
      <c r="I204" s="650"/>
      <c r="J204" s="650"/>
      <c r="K204" s="215"/>
      <c r="L204" s="215"/>
      <c r="M204" s="215"/>
    </row>
    <row r="205" spans="1:70" x14ac:dyDescent="0.25">
      <c r="A205" s="990"/>
      <c r="B205" s="177" t="s">
        <v>36</v>
      </c>
      <c r="C205" s="188">
        <f t="shared" si="99"/>
        <v>0</v>
      </c>
      <c r="D205" s="188">
        <f t="shared" si="99"/>
        <v>0</v>
      </c>
      <c r="E205" s="188">
        <f t="shared" si="99"/>
        <v>0</v>
      </c>
      <c r="F205" s="188">
        <f t="shared" si="99"/>
        <v>0</v>
      </c>
      <c r="G205" s="994"/>
      <c r="H205" s="644"/>
      <c r="I205" s="650"/>
      <c r="J205" s="650"/>
      <c r="K205" s="215"/>
      <c r="L205" s="215"/>
      <c r="M205" s="215"/>
    </row>
    <row r="206" spans="1:70" x14ac:dyDescent="0.25">
      <c r="A206" s="991"/>
      <c r="B206" s="169" t="s">
        <v>107</v>
      </c>
      <c r="C206" s="184" t="e">
        <f>SUM(C200:C205)</f>
        <v>#N/A</v>
      </c>
      <c r="D206" s="184" t="e">
        <f t="shared" ref="D206:E206" si="100">SUM(D200:D205)</f>
        <v>#N/A</v>
      </c>
      <c r="E206" s="184" t="e">
        <f t="shared" si="100"/>
        <v>#N/A</v>
      </c>
      <c r="F206" s="184" t="e">
        <f t="shared" ref="F206" si="101">SUM(F200:F205)</f>
        <v>#N/A</v>
      </c>
      <c r="G206" s="995"/>
      <c r="H206" s="644"/>
      <c r="I206" s="650"/>
      <c r="J206" s="650"/>
      <c r="K206" s="215"/>
      <c r="L206" s="215"/>
      <c r="M206" s="215"/>
    </row>
    <row r="207" spans="1:70" x14ac:dyDescent="0.25">
      <c r="A207" s="989" t="s">
        <v>134</v>
      </c>
      <c r="B207" s="171" t="s">
        <v>322</v>
      </c>
      <c r="C207" s="165" t="s">
        <v>143</v>
      </c>
      <c r="D207" s="165" t="s">
        <v>143</v>
      </c>
      <c r="E207" s="165" t="s">
        <v>143</v>
      </c>
      <c r="F207" s="165" t="s">
        <v>143</v>
      </c>
      <c r="G207" s="672"/>
      <c r="H207" s="644"/>
      <c r="I207" s="650"/>
      <c r="J207" s="650"/>
      <c r="K207" s="215"/>
      <c r="L207" s="215"/>
      <c r="M207" s="215"/>
    </row>
    <row r="208" spans="1:70" x14ac:dyDescent="0.25">
      <c r="A208" s="990"/>
      <c r="B208" s="177" t="s">
        <v>29</v>
      </c>
      <c r="C208" s="188">
        <f t="shared" ref="C208:F213" si="102">C192*C36</f>
        <v>0</v>
      </c>
      <c r="D208" s="188">
        <f t="shared" si="102"/>
        <v>0</v>
      </c>
      <c r="E208" s="188">
        <f t="shared" si="102"/>
        <v>0</v>
      </c>
      <c r="F208" s="188">
        <f t="shared" si="102"/>
        <v>0</v>
      </c>
      <c r="G208" s="994">
        <f>INDEX(Uncertainty_Factors_Table[Value],MATCH('Baseline data entry'!I68,Uncertainty_factors,0))</f>
        <v>0.33</v>
      </c>
      <c r="H208" s="644"/>
      <c r="I208" s="650"/>
      <c r="J208" s="650"/>
      <c r="K208" s="215"/>
      <c r="L208" s="215"/>
      <c r="M208" s="215"/>
    </row>
    <row r="209" spans="1:13" x14ac:dyDescent="0.25">
      <c r="A209" s="990"/>
      <c r="B209" s="166" t="s">
        <v>32</v>
      </c>
      <c r="C209" s="189" t="e">
        <f t="shared" si="102"/>
        <v>#N/A</v>
      </c>
      <c r="D209" s="189" t="e">
        <f t="shared" si="102"/>
        <v>#N/A</v>
      </c>
      <c r="E209" s="189" t="e">
        <f t="shared" si="102"/>
        <v>#N/A</v>
      </c>
      <c r="F209" s="189" t="e">
        <f t="shared" si="102"/>
        <v>#N/A</v>
      </c>
      <c r="G209" s="994"/>
      <c r="H209" s="644"/>
      <c r="I209" s="650"/>
      <c r="J209" s="650"/>
      <c r="K209" s="215"/>
      <c r="L209" s="215"/>
      <c r="M209" s="215"/>
    </row>
    <row r="210" spans="1:13" x14ac:dyDescent="0.25">
      <c r="A210" s="990"/>
      <c r="B210" s="177" t="s">
        <v>33</v>
      </c>
      <c r="C210" s="188">
        <f t="shared" si="102"/>
        <v>0</v>
      </c>
      <c r="D210" s="188">
        <f t="shared" si="102"/>
        <v>0</v>
      </c>
      <c r="E210" s="188">
        <f t="shared" si="102"/>
        <v>0</v>
      </c>
      <c r="F210" s="188">
        <f t="shared" si="102"/>
        <v>0</v>
      </c>
      <c r="G210" s="994"/>
      <c r="H210" s="644"/>
      <c r="I210" s="650"/>
      <c r="J210" s="650"/>
      <c r="K210" s="215"/>
      <c r="L210" s="215"/>
      <c r="M210" s="215"/>
    </row>
    <row r="211" spans="1:13" x14ac:dyDescent="0.25">
      <c r="A211" s="990"/>
      <c r="B211" s="177" t="s">
        <v>34</v>
      </c>
      <c r="C211" s="188">
        <f t="shared" si="102"/>
        <v>0</v>
      </c>
      <c r="D211" s="188">
        <f t="shared" si="102"/>
        <v>0</v>
      </c>
      <c r="E211" s="188">
        <f t="shared" si="102"/>
        <v>0</v>
      </c>
      <c r="F211" s="188">
        <f t="shared" si="102"/>
        <v>0</v>
      </c>
      <c r="G211" s="994"/>
      <c r="H211" s="644"/>
      <c r="I211" s="650"/>
      <c r="J211" s="650"/>
      <c r="K211" s="215"/>
      <c r="L211" s="215"/>
      <c r="M211" s="215"/>
    </row>
    <row r="212" spans="1:13" x14ac:dyDescent="0.25">
      <c r="A212" s="990"/>
      <c r="B212" s="177" t="s">
        <v>35</v>
      </c>
      <c r="C212" s="188">
        <f t="shared" si="102"/>
        <v>0</v>
      </c>
      <c r="D212" s="188">
        <f t="shared" si="102"/>
        <v>0</v>
      </c>
      <c r="E212" s="188">
        <f t="shared" si="102"/>
        <v>0</v>
      </c>
      <c r="F212" s="188">
        <f t="shared" si="102"/>
        <v>0</v>
      </c>
      <c r="G212" s="994"/>
      <c r="H212" s="644"/>
      <c r="I212" s="215"/>
      <c r="J212" s="215"/>
      <c r="K212" s="215"/>
      <c r="L212" s="215"/>
      <c r="M212" s="215"/>
    </row>
    <row r="213" spans="1:13" x14ac:dyDescent="0.25">
      <c r="A213" s="990"/>
      <c r="B213" s="177" t="s">
        <v>36</v>
      </c>
      <c r="C213" s="188">
        <f t="shared" si="102"/>
        <v>0</v>
      </c>
      <c r="D213" s="188">
        <f t="shared" si="102"/>
        <v>0</v>
      </c>
      <c r="E213" s="188">
        <f t="shared" si="102"/>
        <v>0</v>
      </c>
      <c r="F213" s="188">
        <f t="shared" si="102"/>
        <v>0</v>
      </c>
      <c r="G213" s="994"/>
      <c r="H213" s="644"/>
      <c r="I213" s="215"/>
      <c r="J213" s="215"/>
      <c r="K213" s="215"/>
      <c r="L213" s="215"/>
      <c r="M213" s="215"/>
    </row>
    <row r="214" spans="1:13" x14ac:dyDescent="0.25">
      <c r="A214" s="991"/>
      <c r="B214" s="169" t="s">
        <v>107</v>
      </c>
      <c r="C214" s="184" t="e">
        <f>SUM(C208:C213)</f>
        <v>#N/A</v>
      </c>
      <c r="D214" s="184" t="e">
        <f t="shared" ref="D214:E214" si="103">SUM(D208:D213)</f>
        <v>#N/A</v>
      </c>
      <c r="E214" s="184" t="e">
        <f t="shared" si="103"/>
        <v>#N/A</v>
      </c>
      <c r="F214" s="184" t="e">
        <f t="shared" ref="F214" si="104">SUM(F208:F213)</f>
        <v>#N/A</v>
      </c>
      <c r="G214" s="995"/>
      <c r="H214" s="644"/>
      <c r="I214" s="215"/>
      <c r="J214" s="215"/>
      <c r="K214" s="215"/>
      <c r="L214" s="215"/>
      <c r="M214" s="215"/>
    </row>
    <row r="215" spans="1:13" ht="18.75" x14ac:dyDescent="0.3">
      <c r="A215" s="180" t="s">
        <v>162</v>
      </c>
      <c r="B215" s="181"/>
      <c r="C215" s="182"/>
      <c r="D215" s="182"/>
      <c r="E215" s="182"/>
      <c r="F215" s="182"/>
      <c r="G215" s="673"/>
      <c r="H215" s="644"/>
      <c r="I215" s="650"/>
      <c r="J215" s="650"/>
      <c r="K215" s="215"/>
      <c r="L215" s="215"/>
      <c r="M215" s="215"/>
    </row>
    <row r="216" spans="1:13" x14ac:dyDescent="0.25">
      <c r="A216" s="989" t="s">
        <v>163</v>
      </c>
      <c r="B216" s="171" t="s">
        <v>323</v>
      </c>
      <c r="C216" s="165" t="s">
        <v>143</v>
      </c>
      <c r="D216" s="165" t="s">
        <v>143</v>
      </c>
      <c r="E216" s="165" t="s">
        <v>143</v>
      </c>
      <c r="F216" s="165" t="s">
        <v>143</v>
      </c>
      <c r="G216" s="672"/>
      <c r="H216" s="644"/>
      <c r="I216" s="650"/>
      <c r="J216" s="650"/>
      <c r="K216" s="215"/>
      <c r="L216" s="215"/>
      <c r="M216" s="215"/>
    </row>
    <row r="217" spans="1:13" x14ac:dyDescent="0.25">
      <c r="A217" s="990"/>
      <c r="B217" s="166" t="s">
        <v>29</v>
      </c>
      <c r="C217" s="183">
        <f>(('Baseline data entry'!E$12*'Baseline data entry'!E$13*'Baseline data entry'!E14)/1000)*365</f>
        <v>0</v>
      </c>
      <c r="D217" s="183">
        <f>(('Scenario data entry'!F$12*'Scenario data entry'!F$13*'Scenario data entry'!F14)/1000)*365</f>
        <v>0</v>
      </c>
      <c r="E217" s="183">
        <f>(('Scenario data entry'!G$12*'Scenario data entry'!G$13*'Scenario data entry'!G14)/1000)*365</f>
        <v>0</v>
      </c>
      <c r="F217" s="183">
        <f>(('Scenario data entry'!H$12*'Scenario data entry'!H$13*'Scenario data entry'!H14)/1000)*365</f>
        <v>0</v>
      </c>
      <c r="G217" s="998" t="e">
        <f>INDEX(Uncertainty_Factors_Table[Value],MATCH('Baseline data entry'!I12,Uncertainty_factors,0))*INDEX(Uncertainty_Factors_Table[Value],MATCH('Baseline data entry'!I13,Uncertainty_factors,0))*INDEX(Uncertainty_Factors_Table[Value],MATCH('Baseline data entry'!I14,Uncertainty_factors,0))</f>
        <v>#N/A</v>
      </c>
      <c r="H217" s="644"/>
      <c r="I217" s="650"/>
      <c r="J217" s="650"/>
      <c r="K217" s="215"/>
      <c r="L217" s="215"/>
      <c r="M217" s="215"/>
    </row>
    <row r="218" spans="1:13" x14ac:dyDescent="0.25">
      <c r="A218" s="990"/>
      <c r="B218" s="166" t="s">
        <v>32</v>
      </c>
      <c r="C218" s="183">
        <f>(('Baseline data entry'!E$12*'Baseline data entry'!E$13*'Baseline data entry'!E15)/1000)*365</f>
        <v>0</v>
      </c>
      <c r="D218" s="183">
        <f>(('Scenario data entry'!F$12*'Scenario data entry'!F$13*'Scenario data entry'!F15)/1000)*365</f>
        <v>0</v>
      </c>
      <c r="E218" s="183">
        <f>(('Scenario data entry'!G$12*'Scenario data entry'!G$13*'Scenario data entry'!G15)/1000)*365</f>
        <v>0</v>
      </c>
      <c r="F218" s="183">
        <f>(('Scenario data entry'!H$12*'Scenario data entry'!H$13*'Scenario data entry'!H15)/1000)*365</f>
        <v>0</v>
      </c>
      <c r="G218" s="998"/>
      <c r="H218" s="644"/>
      <c r="I218" s="650"/>
      <c r="J218" s="650"/>
      <c r="K218" s="215"/>
      <c r="L218" s="215"/>
      <c r="M218" s="215"/>
    </row>
    <row r="219" spans="1:13" x14ac:dyDescent="0.25">
      <c r="A219" s="990"/>
      <c r="B219" s="166" t="s">
        <v>33</v>
      </c>
      <c r="C219" s="183">
        <f>(('Baseline data entry'!E$12*'Baseline data entry'!E$13*'Baseline data entry'!E16)/1000)*365</f>
        <v>0</v>
      </c>
      <c r="D219" s="183">
        <f>(('Scenario data entry'!F$12*'Scenario data entry'!F$13*'Scenario data entry'!F16)/1000)*365</f>
        <v>0</v>
      </c>
      <c r="E219" s="183">
        <f>(('Scenario data entry'!G$12*'Scenario data entry'!G$13*'Scenario data entry'!G16)/1000)*365</f>
        <v>0</v>
      </c>
      <c r="F219" s="183">
        <f>(('Scenario data entry'!H$12*'Scenario data entry'!H$13*'Scenario data entry'!H16)/1000)*365</f>
        <v>0</v>
      </c>
      <c r="G219" s="998"/>
      <c r="H219" s="644"/>
      <c r="I219" s="650"/>
      <c r="J219" s="650"/>
      <c r="K219" s="215"/>
      <c r="L219" s="215"/>
      <c r="M219" s="215"/>
    </row>
    <row r="220" spans="1:13" x14ac:dyDescent="0.25">
      <c r="A220" s="990"/>
      <c r="B220" s="166" t="s">
        <v>34</v>
      </c>
      <c r="C220" s="183">
        <f>(('Baseline data entry'!E$12*'Baseline data entry'!E$13*'Baseline data entry'!E17)/1000)*365</f>
        <v>0</v>
      </c>
      <c r="D220" s="183">
        <f>(('Scenario data entry'!F$12*'Scenario data entry'!F$13*'Scenario data entry'!F17)/1000)*365</f>
        <v>0</v>
      </c>
      <c r="E220" s="183">
        <f>(('Scenario data entry'!G$12*'Scenario data entry'!G$13*'Scenario data entry'!G17)/1000)*365</f>
        <v>0</v>
      </c>
      <c r="F220" s="183">
        <f>(('Scenario data entry'!H$12*'Scenario data entry'!H$13*'Scenario data entry'!H17)/1000)*365</f>
        <v>0</v>
      </c>
      <c r="G220" s="998"/>
      <c r="H220" s="644"/>
      <c r="I220" s="650"/>
      <c r="J220" s="650"/>
      <c r="K220" s="215"/>
      <c r="L220" s="215"/>
      <c r="M220" s="215"/>
    </row>
    <row r="221" spans="1:13" x14ac:dyDescent="0.25">
      <c r="A221" s="990"/>
      <c r="B221" s="405" t="s">
        <v>35</v>
      </c>
      <c r="C221" s="183">
        <f>(('Baseline data entry'!E$12*'Baseline data entry'!E$13*'Baseline data entry'!E18)/1000)*365</f>
        <v>0</v>
      </c>
      <c r="D221" s="183">
        <f>(('Scenario data entry'!F$12*'Scenario data entry'!F$13*'Scenario data entry'!F18)/1000)*365</f>
        <v>0</v>
      </c>
      <c r="E221" s="183">
        <f>(('Scenario data entry'!G$12*'Scenario data entry'!G$13*'Scenario data entry'!G18)/1000)*365</f>
        <v>0</v>
      </c>
      <c r="F221" s="183">
        <f>(('Scenario data entry'!H$12*'Scenario data entry'!H$13*'Scenario data entry'!H18)/1000)*365</f>
        <v>0</v>
      </c>
      <c r="G221" s="998"/>
      <c r="H221" s="644"/>
      <c r="I221" s="650"/>
      <c r="J221" s="650"/>
      <c r="K221" s="215"/>
      <c r="L221" s="215"/>
      <c r="M221" s="215"/>
    </row>
    <row r="222" spans="1:13" x14ac:dyDescent="0.25">
      <c r="A222" s="990"/>
      <c r="B222" s="166" t="s">
        <v>36</v>
      </c>
      <c r="C222" s="183">
        <f>(('Baseline data entry'!E$12*'Baseline data entry'!E$13*'Baseline data entry'!E19)/1000)*365</f>
        <v>0</v>
      </c>
      <c r="D222" s="183">
        <f>(('Scenario data entry'!F$12*'Scenario data entry'!F$13*'Scenario data entry'!F19)/1000)*365</f>
        <v>0</v>
      </c>
      <c r="E222" s="183">
        <f>(('Scenario data entry'!G$12*'Scenario data entry'!G$13*'Scenario data entry'!G19)/1000)*365</f>
        <v>0</v>
      </c>
      <c r="F222" s="183">
        <f>(('Scenario data entry'!H$12*'Scenario data entry'!H$13*'Scenario data entry'!H19)/1000)*365</f>
        <v>0</v>
      </c>
      <c r="G222" s="998"/>
      <c r="H222" s="644"/>
      <c r="I222" s="719"/>
      <c r="J222" s="650"/>
      <c r="K222" s="215"/>
      <c r="L222" s="215"/>
      <c r="M222" s="215"/>
    </row>
    <row r="223" spans="1:13" x14ac:dyDescent="0.25">
      <c r="A223" s="991"/>
      <c r="B223" s="169" t="s">
        <v>107</v>
      </c>
      <c r="C223" s="191">
        <f>(('Baseline data entry'!E$12*'Baseline data entry'!E$13)/1000)*365</f>
        <v>0</v>
      </c>
      <c r="D223" s="184">
        <f t="shared" ref="D223:E223" si="105">SUM(D217:D222)</f>
        <v>0</v>
      </c>
      <c r="E223" s="184">
        <f t="shared" si="105"/>
        <v>0</v>
      </c>
      <c r="F223" s="184">
        <f t="shared" ref="F223" si="106">SUM(F217:F222)</f>
        <v>0</v>
      </c>
      <c r="G223" s="999"/>
      <c r="H223" s="644"/>
      <c r="I223" s="650"/>
      <c r="J223" s="650"/>
      <c r="K223" s="215"/>
      <c r="L223" s="215"/>
      <c r="M223" s="215"/>
    </row>
    <row r="224" spans="1:13" ht="18.75" x14ac:dyDescent="0.3">
      <c r="A224" s="180" t="s">
        <v>164</v>
      </c>
      <c r="B224" s="181"/>
      <c r="C224" s="182"/>
      <c r="D224" s="182"/>
      <c r="E224" s="182"/>
      <c r="F224" s="182"/>
      <c r="G224" s="673"/>
      <c r="H224" s="644"/>
      <c r="I224" s="650"/>
      <c r="J224" s="650"/>
      <c r="K224" s="215"/>
      <c r="L224" s="215"/>
      <c r="M224" s="215"/>
    </row>
    <row r="225" spans="1:15" x14ac:dyDescent="0.25">
      <c r="A225" s="989" t="s">
        <v>165</v>
      </c>
      <c r="B225" s="171" t="s">
        <v>166</v>
      </c>
      <c r="C225" s="165" t="s">
        <v>143</v>
      </c>
      <c r="D225" s="165" t="s">
        <v>143</v>
      </c>
      <c r="E225" s="165" t="s">
        <v>143</v>
      </c>
      <c r="F225" s="165" t="s">
        <v>143</v>
      </c>
      <c r="G225" s="672"/>
      <c r="H225" s="644"/>
      <c r="I225" s="650"/>
      <c r="J225" s="650"/>
      <c r="K225" s="215"/>
      <c r="L225" s="215"/>
      <c r="M225" s="215"/>
    </row>
    <row r="226" spans="1:15" x14ac:dyDescent="0.25">
      <c r="A226" s="990"/>
      <c r="B226" s="166" t="s">
        <v>29</v>
      </c>
      <c r="C226" s="183">
        <f>C217-C192-C184</f>
        <v>0</v>
      </c>
      <c r="D226" s="183">
        <f>Calculations!D217-Calculations!D192-Calculations!D184</f>
        <v>0</v>
      </c>
      <c r="E226" s="183">
        <f>Calculations!E217-Calculations!E192-Calculations!E184</f>
        <v>0</v>
      </c>
      <c r="F226" s="183">
        <f>Calculations!F217-Calculations!F192-Calculations!F184</f>
        <v>0</v>
      </c>
      <c r="G226" s="998" t="e">
        <f>(((C190/(C190+C198))*G184)+((C198/(C190+C198))*G192))*G217</f>
        <v>#N/A</v>
      </c>
      <c r="H226" s="644"/>
      <c r="I226" s="650"/>
      <c r="J226" s="650"/>
      <c r="K226" s="215"/>
      <c r="L226" s="215"/>
      <c r="M226" s="215"/>
    </row>
    <row r="227" spans="1:15" x14ac:dyDescent="0.25">
      <c r="A227" s="990"/>
      <c r="B227" s="166" t="s">
        <v>32</v>
      </c>
      <c r="C227" s="183" t="e">
        <f>Calculations!C218-Calculations!C193-Calculations!C185</f>
        <v>#N/A</v>
      </c>
      <c r="D227" s="183">
        <f>Calculations!D218-Calculations!D193-Calculations!D185</f>
        <v>0</v>
      </c>
      <c r="E227" s="183">
        <f>Calculations!E218-Calculations!E193-Calculations!E185</f>
        <v>0</v>
      </c>
      <c r="F227" s="183">
        <f>Calculations!F218-Calculations!F193-Calculations!F185</f>
        <v>0</v>
      </c>
      <c r="G227" s="998"/>
      <c r="H227" s="644"/>
      <c r="I227" s="650"/>
      <c r="J227" s="650"/>
      <c r="K227" s="215"/>
      <c r="L227" s="215"/>
      <c r="M227" s="215"/>
    </row>
    <row r="228" spans="1:15" x14ac:dyDescent="0.25">
      <c r="A228" s="990"/>
      <c r="B228" s="166" t="s">
        <v>33</v>
      </c>
      <c r="C228" s="183">
        <f>Calculations!C219-Calculations!C194-Calculations!C186</f>
        <v>0</v>
      </c>
      <c r="D228" s="183">
        <f>Calculations!D219-Calculations!D194-Calculations!D186</f>
        <v>0</v>
      </c>
      <c r="E228" s="183">
        <f>Calculations!E219-Calculations!E194-Calculations!E186</f>
        <v>0</v>
      </c>
      <c r="F228" s="183">
        <f>Calculations!F219-Calculations!F194-Calculations!F186</f>
        <v>0</v>
      </c>
      <c r="G228" s="998"/>
      <c r="H228" s="644"/>
      <c r="I228" s="650"/>
      <c r="J228" s="650"/>
      <c r="K228" s="215"/>
      <c r="L228" s="215"/>
      <c r="M228" s="215"/>
    </row>
    <row r="229" spans="1:15" x14ac:dyDescent="0.25">
      <c r="A229" s="990"/>
      <c r="B229" s="166" t="s">
        <v>34</v>
      </c>
      <c r="C229" s="183">
        <f>Calculations!C220-Calculations!C195-Calculations!C187</f>
        <v>0</v>
      </c>
      <c r="D229" s="183">
        <f>Calculations!D220-Calculations!D195-Calculations!D187</f>
        <v>0</v>
      </c>
      <c r="E229" s="183">
        <f>Calculations!E220-Calculations!E195-Calculations!E187</f>
        <v>0</v>
      </c>
      <c r="F229" s="183">
        <f>Calculations!F220-Calculations!F195-Calculations!F187</f>
        <v>0</v>
      </c>
      <c r="G229" s="998"/>
      <c r="H229" s="651"/>
      <c r="I229" s="650"/>
      <c r="J229" s="650"/>
      <c r="K229" s="215"/>
      <c r="L229" s="215"/>
      <c r="M229" s="215"/>
    </row>
    <row r="230" spans="1:15" x14ac:dyDescent="0.25">
      <c r="A230" s="990"/>
      <c r="B230" s="405" t="s">
        <v>35</v>
      </c>
      <c r="C230" s="183">
        <f>Calculations!C221-Calculations!C196-Calculations!C188</f>
        <v>0</v>
      </c>
      <c r="D230" s="183">
        <f>Calculations!D221-Calculations!D196-Calculations!D188</f>
        <v>0</v>
      </c>
      <c r="E230" s="183">
        <f>Calculations!E221-Calculations!E196-Calculations!E188</f>
        <v>0</v>
      </c>
      <c r="F230" s="183">
        <f>Calculations!F221-Calculations!F196-Calculations!F188</f>
        <v>0</v>
      </c>
      <c r="G230" s="998"/>
      <c r="H230" s="644"/>
      <c r="I230" s="650"/>
      <c r="J230" s="650"/>
      <c r="K230" s="215"/>
      <c r="L230" s="215"/>
      <c r="M230" s="215"/>
    </row>
    <row r="231" spans="1:15" x14ac:dyDescent="0.25">
      <c r="A231" s="990"/>
      <c r="B231" s="166" t="s">
        <v>36</v>
      </c>
      <c r="C231" s="183">
        <f>Calculations!C222-Calculations!C197-Calculations!C189</f>
        <v>0</v>
      </c>
      <c r="D231" s="183">
        <f>Calculations!D222-Calculations!D197-Calculations!D189</f>
        <v>0</v>
      </c>
      <c r="E231" s="183">
        <f>Calculations!E222-Calculations!E197-Calculations!E189</f>
        <v>0</v>
      </c>
      <c r="F231" s="183">
        <f>Calculations!F222-Calculations!F197-Calculations!F189</f>
        <v>0</v>
      </c>
      <c r="G231" s="998"/>
      <c r="H231" s="644"/>
      <c r="I231" s="650"/>
      <c r="J231" s="650"/>
      <c r="K231" s="215"/>
      <c r="L231" s="215"/>
      <c r="M231" s="215"/>
    </row>
    <row r="232" spans="1:15" x14ac:dyDescent="0.25">
      <c r="A232" s="991"/>
      <c r="B232" s="169" t="s">
        <v>107</v>
      </c>
      <c r="C232" s="184" t="e">
        <f>SUM(C226:C231)</f>
        <v>#N/A</v>
      </c>
      <c r="D232" s="184">
        <f>SUM(D226:D231)</f>
        <v>0</v>
      </c>
      <c r="E232" s="184">
        <f t="shared" ref="E232" si="107">SUM(E226:E231)</f>
        <v>0</v>
      </c>
      <c r="F232" s="184">
        <f t="shared" ref="F232" si="108">SUM(F226:F231)</f>
        <v>0</v>
      </c>
      <c r="G232" s="999"/>
      <c r="H232" s="652"/>
      <c r="I232" s="650"/>
      <c r="J232" s="719"/>
      <c r="K232" s="215"/>
      <c r="L232" s="215"/>
      <c r="M232" s="215"/>
    </row>
    <row r="233" spans="1:15" ht="18.75" x14ac:dyDescent="0.3">
      <c r="A233" s="180" t="s">
        <v>167</v>
      </c>
      <c r="B233" s="181"/>
      <c r="C233" s="182"/>
      <c r="D233" s="182"/>
      <c r="E233" s="182"/>
      <c r="F233" s="182"/>
      <c r="G233" s="673"/>
      <c r="H233" s="644"/>
      <c r="I233" s="650"/>
      <c r="J233" s="650"/>
      <c r="K233" s="215"/>
      <c r="L233" s="215"/>
      <c r="M233" s="215"/>
    </row>
    <row r="234" spans="1:15" x14ac:dyDescent="0.25">
      <c r="A234" s="577"/>
      <c r="B234" s="171" t="s">
        <v>168</v>
      </c>
      <c r="C234" s="165" t="s">
        <v>143</v>
      </c>
      <c r="D234" s="165" t="s">
        <v>143</v>
      </c>
      <c r="E234" s="165" t="s">
        <v>143</v>
      </c>
      <c r="F234" s="165" t="s">
        <v>143</v>
      </c>
      <c r="G234" s="672"/>
      <c r="H234" s="644"/>
      <c r="I234" s="650"/>
      <c r="J234" s="650"/>
      <c r="K234" s="215"/>
      <c r="L234" s="215"/>
      <c r="M234" s="215"/>
    </row>
    <row r="235" spans="1:15" x14ac:dyDescent="0.25">
      <c r="A235" s="578"/>
      <c r="B235" s="166" t="s">
        <v>169</v>
      </c>
      <c r="C235" s="183" t="e">
        <f>C$227*(INDEX(Fates_Table[Value],MATCH("1.1_"&amp;'Baseline data entry'!E87,Fates_Table[ID3],0))/(INDEX(Fates_Table[Value],MATCH("1.1_"&amp;'Baseline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D235" s="183" t="e">
        <f>D$227*(INDEX(Fates_Table[Value],MATCH("1.1_"&amp;'Scenario data entry'!F92,Fates_Table[ID3],0))/(INDEX(Fates_Table[Value],MATCH("1.1_"&amp;'Scenario data entry'!$F$92,Fates_Table[ID3],0))+INDEX(Fates_Table[Value],MATCH("1.2_"&amp;'Scenario data entry'!$F$93,Fates_Table[ID3],0))+INDEX(Fates_Table[Value],MATCH("1.3_"&amp;'Scenario data entry'!$F$94,Fates_Table[ID3],0))+INDEX(Fates_Table[Value],MATCH("1.4_"&amp;'Scenario data entry'!$F$95,Fates_Table[ID3],0))))</f>
        <v>#N/A</v>
      </c>
      <c r="E235" s="183" t="e">
        <f>E$227*(INDEX(Fates_Table[Value],MATCH("1.1_"&amp;'Scenario data entry'!G92,Fates_Table[ID3],0))/(INDEX(Fates_Table[Value],MATCH("1.1_"&amp;'Scenario data entry'!$G$92,Fates_Table[ID3],0))+INDEX(Fates_Table[Value],MATCH("1.2_"&amp;'Scenario data entry'!$G$93,Fates_Table[ID3],0))+INDEX(Fates_Table[Value],MATCH("1.3_"&amp;'Scenario data entry'!$G$94,Fates_Table[ID3],0))+INDEX(Fates_Table[Value],MATCH("1.4_"&amp;'Scenario data entry'!$G$95,Fates_Table[ID3],0))))</f>
        <v>#N/A</v>
      </c>
      <c r="F235" s="183" t="e">
        <f>F$227*(INDEX(Fates_Table[Value],MATCH("1.1_"&amp;'Scenario data entry'!H92,Fates_Table[ID3],0))/(INDEX(Fates_Table[Value],MATCH("1.1_"&amp;'Scenario data entry'!$H$92,Fates_Table[ID3],0))+INDEX(Fates_Table[Value],MATCH("1.2_"&amp;'Scenario data entry'!$H$93,Fates_Table[ID3],0))+INDEX(Fates_Table[Value],MATCH("1.3_"&amp;'Scenario data entry'!$H$94,Fates_Table[ID3],0))+INDEX(Fates_Table[Value],MATCH("1.4_"&amp;'Scenario data entry'!$H$95,Fates_Table[ID3],0))))</f>
        <v>#N/A</v>
      </c>
      <c r="G235" s="996">
        <f>INDEX(Uncertainty_Factors_Table[Value],MATCH('Baseline data entry'!I87,Uncertainty_factors,0))</f>
        <v>0.66</v>
      </c>
      <c r="H235" s="651"/>
      <c r="I235" s="650"/>
      <c r="J235" s="650"/>
      <c r="K235" s="215"/>
      <c r="L235" s="215"/>
      <c r="M235" s="215"/>
    </row>
    <row r="236" spans="1:15" x14ac:dyDescent="0.25">
      <c r="A236" s="578"/>
      <c r="B236" s="166" t="s">
        <v>170</v>
      </c>
      <c r="C236" s="183" t="e">
        <f>C$227*(INDEX(Fates_Table[Value],MATCH("1.2_"&amp;'Baseline data entry'!E88,Fates_Table[ID3],0))/(INDEX(Fates_Table[Value],MATCH("1.1_"&amp;'Baseline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D236" s="183" t="e">
        <f>D$227*(INDEX(Fates_Table[Value],MATCH("1.2_"&amp;'Scenario data entry'!F93,Fates_Table[ID3],0))/(INDEX(Fates_Table[Value],MATCH("1.1_"&amp;'Scenario data entry'!$F$92,Fates_Table[ID3],0))+INDEX(Fates_Table[Value],MATCH("1.2_"&amp;'Scenario data entry'!$F$93,Fates_Table[ID3],0))+INDEX(Fates_Table[Value],MATCH("1.3_"&amp;'Scenario data entry'!$F$94,Fates_Table[ID3],0))+INDEX(Fates_Table[Value],MATCH("1.4_"&amp;'Scenario data entry'!$F$95,Fates_Table[ID3],0))))</f>
        <v>#N/A</v>
      </c>
      <c r="E236" s="183" t="e">
        <f>E$227*(INDEX(Fates_Table[Value],MATCH("1.2_"&amp;'Scenario data entry'!G93,Fates_Table[ID3],0))/(INDEX(Fates_Table[Value],MATCH("1.1_"&amp;'Scenario data entry'!$G$92,Fates_Table[ID3],0))+INDEX(Fates_Table[Value],MATCH("1.2_"&amp;'Scenario data entry'!$G$93,Fates_Table[ID3],0))+INDEX(Fates_Table[Value],MATCH("1.3_"&amp;'Scenario data entry'!$G$94,Fates_Table[ID3],0))+INDEX(Fates_Table[Value],MATCH("1.4_"&amp;'Scenario data entry'!$G$95,Fates_Table[ID3],0))))</f>
        <v>#N/A</v>
      </c>
      <c r="F236" s="183" t="e">
        <f>F$227*(INDEX(Fates_Table[Value],MATCH("1.2_"&amp;'Scenario data entry'!H93,Fates_Table[ID3],0))/(INDEX(Fates_Table[Value],MATCH("1.1_"&amp;'Scenario data entry'!$H$92,Fates_Table[ID3],0))+INDEX(Fates_Table[Value],MATCH("1.2_"&amp;'Scenario data entry'!$H$93,Fates_Table[ID3],0))+INDEX(Fates_Table[Value],MATCH("1.3_"&amp;'Scenario data entry'!$H$94,Fates_Table[ID3],0))+INDEX(Fates_Table[Value],MATCH("1.4_"&amp;'Scenario data entry'!$H$95,Fates_Table[ID3],0))))</f>
        <v>#N/A</v>
      </c>
      <c r="G236" s="996"/>
      <c r="H236" s="644"/>
      <c r="I236" s="650"/>
      <c r="J236" s="215"/>
      <c r="K236" s="215"/>
      <c r="L236" s="209"/>
      <c r="M236" s="209"/>
      <c r="N236" s="150"/>
      <c r="O236" s="150"/>
    </row>
    <row r="237" spans="1:15" x14ac:dyDescent="0.25">
      <c r="A237" s="578"/>
      <c r="B237" s="166" t="s">
        <v>144</v>
      </c>
      <c r="C237" s="183" t="e">
        <f>C$227*(INDEX(Fates_Table[Value],MATCH("1.3_"&amp;'Baseline data entry'!E89,Fates_Table[ID3],0))/(INDEX(Fates_Table[Value],MATCH("1.1_"&amp;'Baseline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D237" s="183" t="e">
        <f>D$227*(INDEX(Fates_Table[Value],MATCH("1.3_"&amp;'Scenario data entry'!F94,Fates_Table[ID3],0))/(INDEX(Fates_Table[Value],MATCH("1.1_"&amp;'Scenario data entry'!$F$92,Fates_Table[ID3],0))+INDEX(Fates_Table[Value],MATCH("1.2_"&amp;'Scenario data entry'!$F$93,Fates_Table[ID3],0))+INDEX(Fates_Table[Value],MATCH("1.3_"&amp;'Scenario data entry'!$F$94,Fates_Table[ID3],0))+INDEX(Fates_Table[Value],MATCH("1.4_"&amp;'Scenario data entry'!$F$95,Fates_Table[ID3],0))))</f>
        <v>#N/A</v>
      </c>
      <c r="E237" s="183" t="e">
        <f>E$227*(INDEX(Fates_Table[Value],MATCH("1.3_"&amp;'Scenario data entry'!G94,Fates_Table[ID3],0))/(INDEX(Fates_Table[Value],MATCH("1.1_"&amp;'Scenario data entry'!$G$92,Fates_Table[ID3],0))+INDEX(Fates_Table[Value],MATCH("1.2_"&amp;'Scenario data entry'!$G$93,Fates_Table[ID3],0))+INDEX(Fates_Table[Value],MATCH("1.3_"&amp;'Scenario data entry'!$G$94,Fates_Table[ID3],0))+INDEX(Fates_Table[Value],MATCH("1.4_"&amp;'Scenario data entry'!$G$95,Fates_Table[ID3],0))))</f>
        <v>#N/A</v>
      </c>
      <c r="F237" s="183" t="e">
        <f>F$227*(INDEX(Fates_Table[Value],MATCH("1.3_"&amp;'Scenario data entry'!H94,Fates_Table[ID3],0))/(INDEX(Fates_Table[Value],MATCH("1.1_"&amp;'Scenario data entry'!$H$92,Fates_Table[ID3],0))+INDEX(Fates_Table[Value],MATCH("1.2_"&amp;'Scenario data entry'!$H$93,Fates_Table[ID3],0))+INDEX(Fates_Table[Value],MATCH("1.3_"&amp;'Scenario data entry'!$H$94,Fates_Table[ID3],0))+INDEX(Fates_Table[Value],MATCH("1.4_"&amp;'Scenario data entry'!$H$95,Fates_Table[ID3],0))))</f>
        <v>#N/A</v>
      </c>
      <c r="G237" s="996"/>
      <c r="H237" s="644"/>
      <c r="I237" s="650"/>
      <c r="J237" s="215"/>
      <c r="K237" s="215"/>
      <c r="L237" s="215"/>
      <c r="M237" s="215"/>
    </row>
    <row r="238" spans="1:15" x14ac:dyDescent="0.25">
      <c r="A238" s="578"/>
      <c r="B238" s="166" t="s">
        <v>145</v>
      </c>
      <c r="C238" s="183" t="e">
        <f>C$227*(INDEX(Fates_Table[Value],MATCH("1.4_"&amp;'Baseline data entry'!E90,Fates_Table[ID3],0))/(INDEX(Fates_Table[Value],MATCH("1.1_"&amp;'Baseline data entry'!$E$87,Fates_Table[ID3],0))+INDEX(Fates_Table[Value],MATCH("1.2_"&amp;'Baseline data entry'!$E$88,Fates_Table[ID3],0))+INDEX(Fates_Table[Value],MATCH("1.3_"&amp;'Baseline data entry'!$E$89,Fates_Table[ID3],0))+INDEX(Fates_Table[Value],MATCH("1.4_"&amp;'Baseline data entry'!$E$90,Fates_Table[ID3],0))))</f>
        <v>#N/A</v>
      </c>
      <c r="D238" s="183" t="e">
        <f>D$227*(INDEX(Fates_Table[Value],MATCH("1.4_"&amp;'Scenario data entry'!F95,Fates_Table[ID3],0))/(INDEX(Fates_Table[Value],MATCH("1.1_"&amp;'Scenario data entry'!$F$92,Fates_Table[ID3],0))+INDEX(Fates_Table[Value],MATCH("1.2_"&amp;'Scenario data entry'!$F$93,Fates_Table[ID3],0))+INDEX(Fates_Table[Value],MATCH("1.3_"&amp;'Scenario data entry'!$F$94,Fates_Table[ID3],0))+INDEX(Fates_Table[Value],MATCH("1.4_"&amp;'Scenario data entry'!$F$95,Fates_Table[ID3],0))))</f>
        <v>#N/A</v>
      </c>
      <c r="E238" s="183" t="e">
        <f>E$227*(INDEX(Fates_Table[Value],MATCH("1.4_"&amp;'Scenario data entry'!G95,Fates_Table[ID3],0))/(INDEX(Fates_Table[Value],MATCH("1.1_"&amp;'Scenario data entry'!$G$92,Fates_Table[ID3],0))+INDEX(Fates_Table[Value],MATCH("1.2_"&amp;'Scenario data entry'!$G$93,Fates_Table[ID3],0))+INDEX(Fates_Table[Value],MATCH("1.3_"&amp;'Scenario data entry'!$G$94,Fates_Table[ID3],0))+INDEX(Fates_Table[Value],MATCH("1.4_"&amp;'Scenario data entry'!$G$95,Fates_Table[ID3],0))))</f>
        <v>#N/A</v>
      </c>
      <c r="F238" s="183" t="e">
        <f>F$227*(INDEX(Fates_Table[Value],MATCH("1.4_"&amp;'Scenario data entry'!H95,Fates_Table[ID3],0))/(INDEX(Fates_Table[Value],MATCH("1.1_"&amp;'Scenario data entry'!$H$92,Fates_Table[ID3],0))+INDEX(Fates_Table[Value],MATCH("1.2_"&amp;'Scenario data entry'!$H$93,Fates_Table[ID3],0))+INDEX(Fates_Table[Value],MATCH("1.3_"&amp;'Scenario data entry'!$H$94,Fates_Table[ID3],0))+INDEX(Fates_Table[Value],MATCH("1.4_"&amp;'Scenario data entry'!$H$95,Fates_Table[ID3],0))))</f>
        <v>#N/A</v>
      </c>
      <c r="G238" s="996"/>
      <c r="H238" s="644"/>
      <c r="I238" s="650"/>
      <c r="J238" s="215"/>
      <c r="K238" s="215"/>
      <c r="L238" s="215"/>
      <c r="M238" s="215"/>
    </row>
    <row r="239" spans="1:15" x14ac:dyDescent="0.25">
      <c r="A239" s="579"/>
      <c r="B239" s="169" t="s">
        <v>38</v>
      </c>
      <c r="C239" s="184" t="e">
        <f>SUM(C235:C238)</f>
        <v>#N/A</v>
      </c>
      <c r="D239" s="184" t="e">
        <f>SUM(D235:D238)</f>
        <v>#N/A</v>
      </c>
      <c r="E239" s="184" t="e">
        <f>SUM(E235:E238)</f>
        <v>#N/A</v>
      </c>
      <c r="F239" s="184" t="e">
        <f>SUM(F235:F238)</f>
        <v>#N/A</v>
      </c>
      <c r="G239" s="997"/>
      <c r="H239" s="644"/>
      <c r="I239" s="650"/>
      <c r="J239" s="215"/>
      <c r="K239" s="215"/>
      <c r="L239" s="215"/>
      <c r="M239" s="215"/>
    </row>
    <row r="240" spans="1:15" x14ac:dyDescent="0.25">
      <c r="A240" s="577"/>
      <c r="B240" s="171" t="s">
        <v>171</v>
      </c>
      <c r="C240" s="165" t="s">
        <v>143</v>
      </c>
      <c r="D240" s="165" t="s">
        <v>143</v>
      </c>
      <c r="E240" s="165" t="s">
        <v>143</v>
      </c>
      <c r="F240" s="165" t="s">
        <v>143</v>
      </c>
      <c r="G240" s="672"/>
      <c r="H240" s="644"/>
      <c r="I240" s="650"/>
      <c r="J240" s="215"/>
      <c r="K240" s="215"/>
      <c r="L240" s="215"/>
      <c r="M240" s="215"/>
    </row>
    <row r="241" spans="1:13" x14ac:dyDescent="0.25">
      <c r="A241" s="578"/>
      <c r="B241" s="166" t="s">
        <v>169</v>
      </c>
      <c r="C241" s="188">
        <v>0</v>
      </c>
      <c r="D241" s="188">
        <v>0</v>
      </c>
      <c r="E241" s="188">
        <v>0</v>
      </c>
      <c r="F241" s="188">
        <v>0</v>
      </c>
      <c r="G241" s="998">
        <f>INDEX(Uncertainty_Factors_Table[Value],MATCH('Baseline data entry'!I91,Uncertainty_factors,0))</f>
        <v>1</v>
      </c>
      <c r="H241" s="644"/>
      <c r="I241" s="650"/>
      <c r="J241" s="215"/>
      <c r="K241" s="215"/>
      <c r="L241" s="215"/>
      <c r="M241" s="215"/>
    </row>
    <row r="242" spans="1:13" x14ac:dyDescent="0.25">
      <c r="A242" s="578"/>
      <c r="B242" s="166" t="s">
        <v>170</v>
      </c>
      <c r="C242" s="183" t="e">
        <f>(C$95+C$201+C$209)*(INDEX(Fates_Table[Value],MATCH("2.1_"&amp;'Baseline data entry'!E91,Fates_Table[ID3],0))/(INDEX(Fates_Table[Value],MATCH("2.1_"&amp;'Baseline data entry'!$E$91,Fates_Table[ID3],0))+INDEX(Fates_Table[Value],MATCH("2.2_"&amp;'Baseline data entry'!$E$92,Fates_Table[ID3],0))+INDEX(Fates_Table[Value],MATCH("2.3_"&amp;'Baseline data entry'!$E$93,Fates_Table[ID3],0))))</f>
        <v>#N/A</v>
      </c>
      <c r="D242" s="183" t="e">
        <f>(D$95+D$201+D$209)*(INDEX(Fates_Table[Value],MATCH("2.1_"&amp;'Scenario data entry'!F96,Fates_Table[ID3],0))/(INDEX(Fates_Table[Value],MATCH("2.1_"&amp;'Scenario data entry'!$F$96,Fates_Table[ID3],0))+INDEX(Fates_Table[Value],MATCH("2.2_"&amp;'Scenario data entry'!$F$97,Fates_Table[ID3],0))+INDEX(Fates_Table[Value],MATCH("2.3_"&amp;'Scenario data entry'!$F$98,Fates_Table[ID3],0))))</f>
        <v>#N/A</v>
      </c>
      <c r="E242" s="183" t="e">
        <f>(E$95+E$201+E$209)*(INDEX(Fates_Table[Value],MATCH("2.1_"&amp;'Scenario data entry'!G96,Fates_Table[ID3],0))/(INDEX(Fates_Table[Value],MATCH("2.1_"&amp;'Scenario data entry'!$G$96,Fates_Table[ID3],0))+INDEX(Fates_Table[Value],MATCH("2.2_"&amp;'Scenario data entry'!$G$97,Fates_Table[ID3],0))+INDEX(Fates_Table[Value],MATCH("2.3_"&amp;'Scenario data entry'!$G$98,Fates_Table[ID3],0))))</f>
        <v>#N/A</v>
      </c>
      <c r="F242" s="183" t="e">
        <f>(F$95+F$201+F$209)*(INDEX(Fates_Table[Value],MATCH("2.1_"&amp;'Scenario data entry'!H96,Fates_Table[ID3],0))/(INDEX(Fates_Table[Value],MATCH("2.1_"&amp;'Scenario data entry'!$H$96,Fates_Table[ID3],0))+INDEX(Fates_Table[Value],MATCH("2.2_"&amp;'Scenario data entry'!$H$97,Fates_Table[ID3],0))+INDEX(Fates_Table[Value],MATCH("2.3_"&amp;'Scenario data entry'!$H$98,Fates_Table[ID3],0))))</f>
        <v>#N/A</v>
      </c>
      <c r="G242" s="998"/>
      <c r="H242" s="644"/>
      <c r="I242" s="650"/>
      <c r="J242" s="215"/>
      <c r="K242" s="215"/>
      <c r="L242" s="215"/>
      <c r="M242" s="215"/>
    </row>
    <row r="243" spans="1:13" x14ac:dyDescent="0.25">
      <c r="A243" s="578"/>
      <c r="B243" s="166" t="s">
        <v>144</v>
      </c>
      <c r="C243" s="183" t="e">
        <f>(C$95+C$201+C$209)*(INDEX(Fates_Table[Value],MATCH("2.2_"&amp;'Baseline data entry'!E92,Fates_Table[ID3],0))/(INDEX(Fates_Table[Value],MATCH("2.1_"&amp;'Baseline data entry'!$E$91,Fates_Table[ID3],0))+INDEX(Fates_Table[Value],MATCH("2.2_"&amp;'Baseline data entry'!$E$92,Fates_Table[ID3],0))+INDEX(Fates_Table[Value],MATCH("2.3_"&amp;'Baseline data entry'!$E$93,Fates_Table[ID3],0))))</f>
        <v>#N/A</v>
      </c>
      <c r="D243" s="183" t="e">
        <f>(D$95+D$201+D$209)*(INDEX(Fates_Table[Value],MATCH("2.2_"&amp;'Scenario data entry'!F97,Fates_Table[ID3],0))/(INDEX(Fates_Table[Value],MATCH("2.1_"&amp;'Scenario data entry'!$F$96,Fates_Table[ID3],0))+INDEX(Fates_Table[Value],MATCH("2.2_"&amp;'Scenario data entry'!$F$97,Fates_Table[ID3],0))+INDEX(Fates_Table[Value],MATCH("2.3_"&amp;'Scenario data entry'!$F$98,Fates_Table[ID3],0))))</f>
        <v>#N/A</v>
      </c>
      <c r="E243" s="183" t="e">
        <f>(E$95+E$201+E$209)*(INDEX(Fates_Table[Value],MATCH("2.2_"&amp;'Scenario data entry'!G97,Fates_Table[ID3],0))/(INDEX(Fates_Table[Value],MATCH("2.1_"&amp;'Scenario data entry'!$G$96,Fates_Table[ID3],0))+INDEX(Fates_Table[Value],MATCH("2.2_"&amp;'Scenario data entry'!$G$97,Fates_Table[ID3],0))+INDEX(Fates_Table[Value],MATCH("2.3_"&amp;'Scenario data entry'!$G$98,Fates_Table[ID3],0))))</f>
        <v>#N/A</v>
      </c>
      <c r="F243" s="183" t="e">
        <f>(F$95+F$201+F$209)*(INDEX(Fates_Table[Value],MATCH("2.2_"&amp;'Scenario data entry'!H97,Fates_Table[ID3],0))/(INDEX(Fates_Table[Value],MATCH("2.1_"&amp;'Scenario data entry'!$H$96,Fates_Table[ID3],0))+INDEX(Fates_Table[Value],MATCH("2.2_"&amp;'Scenario data entry'!$H$97,Fates_Table[ID3],0))+INDEX(Fates_Table[Value],MATCH("2.3_"&amp;'Scenario data entry'!$H$98,Fates_Table[ID3],0))))</f>
        <v>#N/A</v>
      </c>
      <c r="G243" s="998"/>
      <c r="H243" s="644"/>
      <c r="I243" s="650"/>
      <c r="J243" s="215"/>
      <c r="K243" s="215"/>
      <c r="L243" s="215"/>
      <c r="M243" s="215"/>
    </row>
    <row r="244" spans="1:13" x14ac:dyDescent="0.25">
      <c r="A244" s="578"/>
      <c r="B244" s="166" t="s">
        <v>145</v>
      </c>
      <c r="C244" s="183" t="e">
        <f>(C$95+C$201+C$209)*(INDEX(Fates_Table[Value],MATCH("2.3_"&amp;'Baseline data entry'!E93,Fates_Table[ID3],0))/(INDEX(Fates_Table[Value],MATCH("2.1_"&amp;'Baseline data entry'!$E$91,Fates_Table[ID3],0))+INDEX(Fates_Table[Value],MATCH("2.2_"&amp;'Baseline data entry'!$E$92,Fates_Table[ID3],0))+INDEX(Fates_Table[Value],MATCH("2.3_"&amp;'Baseline data entry'!$E$93,Fates_Table[ID3],0))))</f>
        <v>#N/A</v>
      </c>
      <c r="D244" s="183" t="e">
        <f>(D$95+D$201+D$209)*(INDEX(Fates_Table[Value],MATCH("2.3_"&amp;'Scenario data entry'!F98,Fates_Table[ID3],0))/(INDEX(Fates_Table[Value],MATCH("2.1_"&amp;'Scenario data entry'!$F$96,Fates_Table[ID3],0))+INDEX(Fates_Table[Value],MATCH("2.2_"&amp;'Scenario data entry'!$F$97,Fates_Table[ID3],0))+INDEX(Fates_Table[Value],MATCH("2.3_"&amp;'Scenario data entry'!$F$98,Fates_Table[ID3],0))))</f>
        <v>#N/A</v>
      </c>
      <c r="E244" s="183" t="e">
        <f>(E$95+E$201+E$209)*(INDEX(Fates_Table[Value],MATCH("2.3_"&amp;'Scenario data entry'!G98,Fates_Table[ID3],0))/(INDEX(Fates_Table[Value],MATCH("2.1_"&amp;'Scenario data entry'!$G$96,Fates_Table[ID3],0))+INDEX(Fates_Table[Value],MATCH("2.2_"&amp;'Scenario data entry'!$G$97,Fates_Table[ID3],0))+INDEX(Fates_Table[Value],MATCH("2.3_"&amp;'Scenario data entry'!$G$98,Fates_Table[ID3],0))))</f>
        <v>#N/A</v>
      </c>
      <c r="F244" s="183" t="e">
        <f>(F$95+F$201+F$209)*(INDEX(Fates_Table[Value],MATCH("2.3_"&amp;'Scenario data entry'!H98,Fates_Table[ID3],0))/(INDEX(Fates_Table[Value],MATCH("2.1_"&amp;'Scenario data entry'!$H$96,Fates_Table[ID3],0))+INDEX(Fates_Table[Value],MATCH("2.2_"&amp;'Scenario data entry'!$H$97,Fates_Table[ID3],0))+INDEX(Fates_Table[Value],MATCH("2.3_"&amp;'Scenario data entry'!$H$98,Fates_Table[ID3],0))))</f>
        <v>#N/A</v>
      </c>
      <c r="G244" s="998"/>
      <c r="H244" s="653"/>
      <c r="I244" s="650"/>
      <c r="J244" s="215"/>
      <c r="K244" s="215"/>
      <c r="L244" s="215"/>
      <c r="M244" s="215"/>
    </row>
    <row r="245" spans="1:13" x14ac:dyDescent="0.25">
      <c r="A245" s="579"/>
      <c r="B245" s="169" t="s">
        <v>38</v>
      </c>
      <c r="C245" s="184" t="e">
        <f>SUM(C241:C244)</f>
        <v>#N/A</v>
      </c>
      <c r="D245" s="184" t="e">
        <f t="shared" ref="D245:E245" si="109">SUM(D241:D244)</f>
        <v>#N/A</v>
      </c>
      <c r="E245" s="184" t="e">
        <f t="shared" si="109"/>
        <v>#N/A</v>
      </c>
      <c r="F245" s="184" t="e">
        <f t="shared" ref="F245" si="110">SUM(F241:F244)</f>
        <v>#N/A</v>
      </c>
      <c r="G245" s="999"/>
      <c r="H245" s="644"/>
      <c r="I245" s="650"/>
      <c r="J245" s="215"/>
      <c r="K245" s="215"/>
      <c r="L245" s="215"/>
      <c r="M245" s="215"/>
    </row>
    <row r="246" spans="1:13" x14ac:dyDescent="0.25">
      <c r="A246" s="577"/>
      <c r="B246" s="171" t="s">
        <v>172</v>
      </c>
      <c r="C246" s="165" t="s">
        <v>143</v>
      </c>
      <c r="D246" s="165" t="s">
        <v>143</v>
      </c>
      <c r="E246" s="165" t="s">
        <v>143</v>
      </c>
      <c r="F246" s="165" t="s">
        <v>143</v>
      </c>
      <c r="G246" s="672"/>
      <c r="H246" s="644"/>
      <c r="I246" s="650"/>
      <c r="J246" s="215"/>
      <c r="K246" s="215"/>
      <c r="L246" s="215"/>
      <c r="M246" s="215"/>
    </row>
    <row r="247" spans="1:13" x14ac:dyDescent="0.25">
      <c r="A247" s="578"/>
      <c r="B247" s="166" t="s">
        <v>169</v>
      </c>
      <c r="C247" s="193" t="e">
        <f>C$176*(INDEX(Fates_Table[Value],MATCH("4.1_"&amp;'Baseline data entry'!E94,Fates_Table[ID3],0))/(INDEX(Fates_Table[Value],MATCH("4.1_"&amp;'Baseline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D247" s="193" t="e">
        <f>D$176*(INDEX(Fates_Table[Value],MATCH("4.1_"&amp;'Scenario data entry'!F99,Fates_Table[ID3],0))/(INDEX(Fates_Table[Value],MATCH("4.1_"&amp;'Scenario data entry'!$F$99,Fates_Table[ID3],0))+INDEX(Fates_Table[Value],MATCH("4.2_"&amp;'Scenario data entry'!$F$100,Fates_Table[ID3],0))+INDEX(Fates_Table[Value],MATCH("4.3_"&amp;'Scenario data entry'!$F$101,Fates_Table[ID3],0))+INDEX(Fates_Table[Value],MATCH("4.4_"&amp;'Scenario data entry'!$F$102,Fates_Table[ID3],0))))</f>
        <v>#N/A</v>
      </c>
      <c r="E247" s="193" t="e">
        <f>E$176*(INDEX(Fates_Table[Value],MATCH("4.1_"&amp;'Scenario data entry'!G99,Fates_Table[ID3],0))/(INDEX(Fates_Table[Value],MATCH("4.1_"&amp;'Scenario data entry'!$G$99,Fates_Table[ID3],0))+INDEX(Fates_Table[Value],MATCH("4.2_"&amp;'Scenario data entry'!$G$100,Fates_Table[ID3],0))+INDEX(Fates_Table[Value],MATCH("4.3_"&amp;'Scenario data entry'!$G$101,Fates_Table[ID3],0))+INDEX(Fates_Table[Value],MATCH("4.4_"&amp;'Scenario data entry'!$G$102,Fates_Table[ID3],0))))</f>
        <v>#N/A</v>
      </c>
      <c r="F247" s="193" t="e">
        <f>F$176*(INDEX(Fates_Table[Value],MATCH("4.1_"&amp;'Scenario data entry'!H99,Fates_Table[ID3],0))/(INDEX(Fates_Table[Value],MATCH("4.1_"&amp;'Scenario data entry'!$H$99,Fates_Table[ID3],0))+INDEX(Fates_Table[Value],MATCH("4.2_"&amp;'Scenario data entry'!$H$100,Fates_Table[ID3],0))+INDEX(Fates_Table[Value],MATCH("4.3_"&amp;'Scenario data entry'!$H$101,Fates_Table[ID3],0))+INDEX(Fates_Table[Value],MATCH("4.4_"&amp;'Scenario data entry'!$H$102,Fates_Table[ID3],0))))</f>
        <v>#N/A</v>
      </c>
      <c r="G247" s="996">
        <f>INDEX(Uncertainty_Factors_Table[Value],MATCH('Baseline data entry'!I94,Uncertainty_factors,0))</f>
        <v>0.33</v>
      </c>
      <c r="H247" s="644"/>
      <c r="I247" s="650"/>
      <c r="J247" s="215"/>
      <c r="K247" s="215"/>
      <c r="L247" s="215"/>
      <c r="M247" s="215"/>
    </row>
    <row r="248" spans="1:13" x14ac:dyDescent="0.25">
      <c r="A248" s="578"/>
      <c r="B248" s="166" t="s">
        <v>170</v>
      </c>
      <c r="C248" s="193" t="e">
        <f>C$176*(INDEX(Fates_Table[Value],MATCH("4.2_"&amp;'Baseline data entry'!E95,Fates_Table[ID3],0))/(INDEX(Fates_Table[Value],MATCH("4.1_"&amp;'Baseline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D248" s="193" t="e">
        <f>D$176*(INDEX(Fates_Table[Value],MATCH("4.2_"&amp;'Scenario data entry'!F100,Fates_Table[ID3],0))/(INDEX(Fates_Table[Value],MATCH("4.1_"&amp;'Scenario data entry'!$F$99,Fates_Table[ID3],0))+INDEX(Fates_Table[Value],MATCH("4.2_"&amp;'Scenario data entry'!$F$100,Fates_Table[ID3],0))+INDEX(Fates_Table[Value],MATCH("4.3_"&amp;'Scenario data entry'!$F$101,Fates_Table[ID3],0))+INDEX(Fates_Table[Value],MATCH("4.4_"&amp;'Scenario data entry'!$F$102,Fates_Table[ID3],0))))</f>
        <v>#N/A</v>
      </c>
      <c r="E248" s="193" t="e">
        <f>E$176*(INDEX(Fates_Table[Value],MATCH("4.2_"&amp;'Scenario data entry'!G100,Fates_Table[ID3],0))/(INDEX(Fates_Table[Value],MATCH("4.1_"&amp;'Scenario data entry'!$G$99,Fates_Table[ID3],0))+INDEX(Fates_Table[Value],MATCH("4.2_"&amp;'Scenario data entry'!$G$100,Fates_Table[ID3],0))+INDEX(Fates_Table[Value],MATCH("4.3_"&amp;'Scenario data entry'!$G$101,Fates_Table[ID3],0))+INDEX(Fates_Table[Value],MATCH("4.4_"&amp;'Scenario data entry'!$G$102,Fates_Table[ID3],0))))</f>
        <v>#N/A</v>
      </c>
      <c r="F248" s="193" t="e">
        <f>F$176*(INDEX(Fates_Table[Value],MATCH("4.2_"&amp;'Scenario data entry'!H100,Fates_Table[ID3],0))/(INDEX(Fates_Table[Value],MATCH("4.1_"&amp;'Scenario data entry'!$H$99,Fates_Table[ID3],0))+INDEX(Fates_Table[Value],MATCH("4.2_"&amp;'Scenario data entry'!$H$100,Fates_Table[ID3],0))+INDEX(Fates_Table[Value],MATCH("4.3_"&amp;'Scenario data entry'!$H$101,Fates_Table[ID3],0))+INDEX(Fates_Table[Value],MATCH("4.4_"&amp;'Scenario data entry'!$H$102,Fates_Table[ID3],0))))</f>
        <v>#N/A</v>
      </c>
      <c r="G248" s="996"/>
      <c r="H248" s="644"/>
      <c r="I248" s="655"/>
      <c r="J248" s="654"/>
      <c r="K248" s="654"/>
      <c r="L248" s="654"/>
      <c r="M248" s="654"/>
    </row>
    <row r="249" spans="1:13" x14ac:dyDescent="0.25">
      <c r="A249" s="578"/>
      <c r="B249" s="166" t="s">
        <v>144</v>
      </c>
      <c r="C249" s="193" t="e">
        <f>C$176*(INDEX(Fates_Table[Value],MATCH("4.3_"&amp;'Baseline data entry'!E96,Fates_Table[ID3],0))/(INDEX(Fates_Table[Value],MATCH("4.1_"&amp;'Baseline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D249" s="193" t="e">
        <f>D$176*(INDEX(Fates_Table[Value],MATCH("4.3_"&amp;'Scenario data entry'!F101,Fates_Table[ID3],0))/(INDEX(Fates_Table[Value],MATCH("4.1_"&amp;'Scenario data entry'!$F$99,Fates_Table[ID3],0))+INDEX(Fates_Table[Value],MATCH("4.2_"&amp;'Scenario data entry'!$F$100,Fates_Table[ID3],0))+INDEX(Fates_Table[Value],MATCH("4.3_"&amp;'Scenario data entry'!$F$101,Fates_Table[ID3],0))+INDEX(Fates_Table[Value],MATCH("4.4_"&amp;'Scenario data entry'!$F$102,Fates_Table[ID3],0))))</f>
        <v>#N/A</v>
      </c>
      <c r="E249" s="193" t="e">
        <f>E$176*(INDEX(Fates_Table[Value],MATCH("4.3_"&amp;'Scenario data entry'!G101,Fates_Table[ID3],0))/(INDEX(Fates_Table[Value],MATCH("4.1_"&amp;'Scenario data entry'!$G$99,Fates_Table[ID3],0))+INDEX(Fates_Table[Value],MATCH("4.2_"&amp;'Scenario data entry'!$G$100,Fates_Table[ID3],0))+INDEX(Fates_Table[Value],MATCH("4.3_"&amp;'Scenario data entry'!$G$101,Fates_Table[ID3],0))+INDEX(Fates_Table[Value],MATCH("4.4_"&amp;'Scenario data entry'!$G$102,Fates_Table[ID3],0))))</f>
        <v>#N/A</v>
      </c>
      <c r="F249" s="193" t="e">
        <f>F$176*(INDEX(Fates_Table[Value],MATCH("4.3_"&amp;'Scenario data entry'!H101,Fates_Table[ID3],0))/(INDEX(Fates_Table[Value],MATCH("4.1_"&amp;'Scenario data entry'!$H$99,Fates_Table[ID3],0))+INDEX(Fates_Table[Value],MATCH("4.2_"&amp;'Scenario data entry'!$H$100,Fates_Table[ID3],0))+INDEX(Fates_Table[Value],MATCH("4.3_"&amp;'Scenario data entry'!$H$101,Fates_Table[ID3],0))+INDEX(Fates_Table[Value],MATCH("4.4_"&amp;'Scenario data entry'!$H$102,Fates_Table[ID3],0))))</f>
        <v>#N/A</v>
      </c>
      <c r="G249" s="996"/>
      <c r="H249" s="644"/>
      <c r="I249" s="650"/>
      <c r="J249" s="215"/>
      <c r="K249" s="215"/>
      <c r="L249" s="215"/>
      <c r="M249" s="215"/>
    </row>
    <row r="250" spans="1:13" x14ac:dyDescent="0.25">
      <c r="A250" s="578"/>
      <c r="B250" s="166" t="s">
        <v>145</v>
      </c>
      <c r="C250" s="193" t="e">
        <f>C$176*(INDEX(Fates_Table[Value],MATCH("4.4_"&amp;'Baseline data entry'!E97,Fates_Table[ID3],0))/(INDEX(Fates_Table[Value],MATCH("4.1_"&amp;'Baseline data entry'!$E$94,Fates_Table[ID3],0))+INDEX(Fates_Table[Value],MATCH("4.2_"&amp;'Baseline data entry'!$E$95,Fates_Table[ID3],0))+INDEX(Fates_Table[Value],MATCH("4.3_"&amp;'Baseline data entry'!$E$96,Fates_Table[ID3],0))+INDEX(Fates_Table[Value],MATCH("4.4_"&amp;'Baseline data entry'!$E$97,Fates_Table[ID3],0))))</f>
        <v>#N/A</v>
      </c>
      <c r="D250" s="193" t="e">
        <f>D$176*(INDEX(Fates_Table[Value],MATCH("4.4_"&amp;'Scenario data entry'!F102,Fates_Table[ID3],0))/(INDEX(Fates_Table[Value],MATCH("4.1_"&amp;'Scenario data entry'!$F$99,Fates_Table[ID3],0))+INDEX(Fates_Table[Value],MATCH("4.2_"&amp;'Scenario data entry'!$F$100,Fates_Table[ID3],0))+INDEX(Fates_Table[Value],MATCH("4.3_"&amp;'Scenario data entry'!$F$101,Fates_Table[ID3],0))+INDEX(Fates_Table[Value],MATCH("4.4_"&amp;'Scenario data entry'!$F$102,Fates_Table[ID3],0))))</f>
        <v>#N/A</v>
      </c>
      <c r="E250" s="193" t="e">
        <f>E$176*(INDEX(Fates_Table[Value],MATCH("4.4_"&amp;'Scenario data entry'!G102,Fates_Table[ID3],0))/(INDEX(Fates_Table[Value],MATCH("4.1_"&amp;'Scenario data entry'!$G$99,Fates_Table[ID3],0))+INDEX(Fates_Table[Value],MATCH("4.2_"&amp;'Scenario data entry'!$G$100,Fates_Table[ID3],0))+INDEX(Fates_Table[Value],MATCH("4.3_"&amp;'Scenario data entry'!$G$101,Fates_Table[ID3],0))+INDEX(Fates_Table[Value],MATCH("4.4_"&amp;'Scenario data entry'!$G$102,Fates_Table[ID3],0))))</f>
        <v>#N/A</v>
      </c>
      <c r="F250" s="193" t="e">
        <f>F$176*(INDEX(Fates_Table[Value],MATCH("4.4_"&amp;'Scenario data entry'!H102,Fates_Table[ID3],0))/(INDEX(Fates_Table[Value],MATCH("4.1_"&amp;'Scenario data entry'!$H$99,Fates_Table[ID3],0))+INDEX(Fates_Table[Value],MATCH("4.2_"&amp;'Scenario data entry'!$H$100,Fates_Table[ID3],0))+INDEX(Fates_Table[Value],MATCH("4.3_"&amp;'Scenario data entry'!$H$101,Fates_Table[ID3],0))+INDEX(Fates_Table[Value],MATCH("4.4_"&amp;'Scenario data entry'!$H$102,Fates_Table[ID3],0))))</f>
        <v>#N/A</v>
      </c>
      <c r="G250" s="996"/>
      <c r="H250" s="644"/>
      <c r="I250" s="650"/>
      <c r="J250" s="215"/>
      <c r="K250" s="215"/>
      <c r="L250" s="215"/>
      <c r="M250" s="215"/>
    </row>
    <row r="251" spans="1:13" x14ac:dyDescent="0.25">
      <c r="A251" s="579"/>
      <c r="B251" s="169" t="s">
        <v>38</v>
      </c>
      <c r="C251" s="184" t="e">
        <f>SUM(C247:C250)</f>
        <v>#N/A</v>
      </c>
      <c r="D251" s="184" t="e">
        <f t="shared" ref="D251:F251" si="111">SUM(D247:D250)</f>
        <v>#N/A</v>
      </c>
      <c r="E251" s="184" t="e">
        <f t="shared" si="111"/>
        <v>#N/A</v>
      </c>
      <c r="F251" s="184" t="e">
        <f t="shared" si="111"/>
        <v>#N/A</v>
      </c>
      <c r="G251" s="997"/>
      <c r="H251" s="644"/>
      <c r="I251" s="650"/>
      <c r="J251" s="215"/>
      <c r="K251" s="215"/>
      <c r="L251" s="215"/>
      <c r="M251" s="215"/>
    </row>
    <row r="252" spans="1:13" x14ac:dyDescent="0.25">
      <c r="A252" s="359"/>
      <c r="B252" s="176" t="s">
        <v>173</v>
      </c>
      <c r="C252" s="165" t="s">
        <v>143</v>
      </c>
      <c r="D252" s="165" t="s">
        <v>143</v>
      </c>
      <c r="E252" s="165" t="s">
        <v>143</v>
      </c>
      <c r="F252" s="165" t="s">
        <v>143</v>
      </c>
      <c r="G252" s="672"/>
      <c r="H252" s="644"/>
      <c r="I252" s="650"/>
      <c r="J252" s="215"/>
      <c r="K252" s="215"/>
      <c r="L252" s="215"/>
      <c r="M252" s="215"/>
    </row>
    <row r="253" spans="1:13" x14ac:dyDescent="0.25">
      <c r="A253" s="360"/>
      <c r="B253" s="166" t="s">
        <v>169</v>
      </c>
      <c r="C253" s="183" t="e">
        <f>C$160*(INDEX(Fates_Table[Value],MATCH("4.1_"&amp;'Baseline data entry'!E98,Fates_Table[ID3],0))/(INDEX(Fates_Table[Value],MATCH("4.1_"&amp;'Baseline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D253" s="183" t="e">
        <f>D$160*(INDEX(Fates_Table[Value],MATCH("4.1_"&amp;'Scenario data entry'!F103,Fates_Table[ID3],0))/(INDEX(Fates_Table[Value],MATCH("4.1_"&amp;'Scenario data entry'!$F$103,Fates_Table[ID3],0))+INDEX(Fates_Table[Value],MATCH("4.2_"&amp;'Scenario data entry'!$F$104,Fates_Table[ID3],0))+INDEX(Fates_Table[Value],MATCH("4.3_"&amp;'Scenario data entry'!$F$105,Fates_Table[ID3],0))+INDEX(Fates_Table[Value],MATCH("4.4_"&amp;'Scenario data entry'!$F$106,Fates_Table[ID3],0))))</f>
        <v>#N/A</v>
      </c>
      <c r="E253" s="183" t="e">
        <f>E$160*(INDEX(Fates_Table[Value],MATCH("4.1_"&amp;'Scenario data entry'!G103,Fates_Table[ID3],0))/(INDEX(Fates_Table[Value],MATCH("4.1_"&amp;'Scenario data entry'!$G$103,Fates_Table[ID3],0))+INDEX(Fates_Table[Value],MATCH("4.2_"&amp;'Scenario data entry'!$G$104,Fates_Table[ID3],0))+INDEX(Fates_Table[Value],MATCH("4.3_"&amp;'Scenario data entry'!$G$105,Fates_Table[ID3],0))+INDEX(Fates_Table[Value],MATCH("4.4_"&amp;'Scenario data entry'!$G$106,Fates_Table[ID3],0))))</f>
        <v>#N/A</v>
      </c>
      <c r="F253" s="183" t="e">
        <f>F$160*(INDEX(Fates_Table[Value],MATCH("4.1_"&amp;'Scenario data entry'!H103,Fates_Table[ID3],0))/(INDEX(Fates_Table[Value],MATCH("4.1_"&amp;'Scenario data entry'!$H$103,Fates_Table[ID3],0))+INDEX(Fates_Table[Value],MATCH("4.2_"&amp;'Scenario data entry'!$H$104,Fates_Table[ID3],0))+INDEX(Fates_Table[Value],MATCH("4.3_"&amp;'Scenario data entry'!$H$105,Fates_Table[ID3],0))+INDEX(Fates_Table[Value],MATCH("4.4_"&amp;'Scenario data entry'!$H$106,Fates_Table[ID3],0))))</f>
        <v>#N/A</v>
      </c>
      <c r="G253" s="996">
        <f>INDEX(Uncertainty_Factors_Table[Value],MATCH('Baseline data entry'!I98,Uncertainty_factors,0))</f>
        <v>0.33</v>
      </c>
      <c r="H253" s="644"/>
      <c r="I253" s="650"/>
      <c r="J253" s="209"/>
      <c r="K253" s="209"/>
      <c r="L253" s="209"/>
      <c r="M253" s="209"/>
    </row>
    <row r="254" spans="1:13" x14ac:dyDescent="0.25">
      <c r="A254" s="360"/>
      <c r="B254" s="166" t="s">
        <v>170</v>
      </c>
      <c r="C254" s="183" t="e">
        <f>C$160*(INDEX(Fates_Table[Value],MATCH("4.2_"&amp;'Baseline data entry'!E99,Fates_Table[ID3],0))/(INDEX(Fates_Table[Value],MATCH("4.1_"&amp;'Baseline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D254" s="183" t="e">
        <f>D$160*(INDEX(Fates_Table[Value],MATCH("4.2_"&amp;'Scenario data entry'!F104,Fates_Table[ID3],0))/(INDEX(Fates_Table[Value],MATCH("4.1_"&amp;'Scenario data entry'!$F$103,Fates_Table[ID3],0))+INDEX(Fates_Table[Value],MATCH("4.2_"&amp;'Scenario data entry'!$F$104,Fates_Table[ID3],0))+INDEX(Fates_Table[Value],MATCH("4.3_"&amp;'Scenario data entry'!$F$105,Fates_Table[ID3],0))+INDEX(Fates_Table[Value],MATCH("4.4_"&amp;'Scenario data entry'!$F$106,Fates_Table[ID3],0))))</f>
        <v>#N/A</v>
      </c>
      <c r="E254" s="183" t="e">
        <f>E$160*(INDEX(Fates_Table[Value],MATCH("4.2_"&amp;'Scenario data entry'!G104,Fates_Table[ID3],0))/(INDEX(Fates_Table[Value],MATCH("4.1_"&amp;'Scenario data entry'!$G$103,Fates_Table[ID3],0))+INDEX(Fates_Table[Value],MATCH("4.2_"&amp;'Scenario data entry'!$G$104,Fates_Table[ID3],0))+INDEX(Fates_Table[Value],MATCH("4.3_"&amp;'Scenario data entry'!$G$105,Fates_Table[ID3],0))+INDEX(Fates_Table[Value],MATCH("4.4_"&amp;'Scenario data entry'!$G$106,Fates_Table[ID3],0))))</f>
        <v>#N/A</v>
      </c>
      <c r="F254" s="183" t="e">
        <f>F$160*(INDEX(Fates_Table[Value],MATCH("4.2_"&amp;'Scenario data entry'!H104,Fates_Table[ID3],0))/(INDEX(Fates_Table[Value],MATCH("4.1_"&amp;'Scenario data entry'!$H$103,Fates_Table[ID3],0))+INDEX(Fates_Table[Value],MATCH("4.2_"&amp;'Scenario data entry'!$H$104,Fates_Table[ID3],0))+INDEX(Fates_Table[Value],MATCH("4.3_"&amp;'Scenario data entry'!$H$105,Fates_Table[ID3],0))+INDEX(Fates_Table[Value],MATCH("4.4_"&amp;'Scenario data entry'!$H$106,Fates_Table[ID3],0))))</f>
        <v>#N/A</v>
      </c>
      <c r="G254" s="996"/>
      <c r="H254" s="644"/>
      <c r="I254" s="650"/>
      <c r="J254" s="215"/>
      <c r="K254" s="215"/>
      <c r="L254" s="215"/>
      <c r="M254" s="215"/>
    </row>
    <row r="255" spans="1:13" x14ac:dyDescent="0.25">
      <c r="A255" s="360"/>
      <c r="B255" s="166" t="s">
        <v>144</v>
      </c>
      <c r="C255" s="183" t="e">
        <f>C$160*(INDEX(Fates_Table[Value],MATCH("4.3_"&amp;'Baseline data entry'!E100,Fates_Table[ID3],0))/(INDEX(Fates_Table[Value],MATCH("4.1_"&amp;'Baseline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D255" s="183" t="e">
        <f>D$160*(INDEX(Fates_Table[Value],MATCH("4.3_"&amp;'Scenario data entry'!F105,Fates_Table[ID3],0))/(INDEX(Fates_Table[Value],MATCH("4.1_"&amp;'Scenario data entry'!$F$103,Fates_Table[ID3],0))+INDEX(Fates_Table[Value],MATCH("4.2_"&amp;'Scenario data entry'!$F$104,Fates_Table[ID3],0))+INDEX(Fates_Table[Value],MATCH("4.3_"&amp;'Scenario data entry'!$F$105,Fates_Table[ID3],0))+INDEX(Fates_Table[Value],MATCH("4.4_"&amp;'Scenario data entry'!$F$106,Fates_Table[ID3],0))))</f>
        <v>#N/A</v>
      </c>
      <c r="E255" s="183" t="e">
        <f>E$160*(INDEX(Fates_Table[Value],MATCH("4.3_"&amp;'Scenario data entry'!G105,Fates_Table[ID3],0))/(INDEX(Fates_Table[Value],MATCH("4.1_"&amp;'Scenario data entry'!$G$103,Fates_Table[ID3],0))+INDEX(Fates_Table[Value],MATCH("4.2_"&amp;'Scenario data entry'!$G$104,Fates_Table[ID3],0))+INDEX(Fates_Table[Value],MATCH("4.3_"&amp;'Scenario data entry'!$G$105,Fates_Table[ID3],0))+INDEX(Fates_Table[Value],MATCH("4.4_"&amp;'Scenario data entry'!$G$106,Fates_Table[ID3],0))))</f>
        <v>#N/A</v>
      </c>
      <c r="F255" s="183" t="e">
        <f>F$160*(INDEX(Fates_Table[Value],MATCH("4.3_"&amp;'Scenario data entry'!H105,Fates_Table[ID3],0))/(INDEX(Fates_Table[Value],MATCH("4.1_"&amp;'Scenario data entry'!$H$103,Fates_Table[ID3],0))+INDEX(Fates_Table[Value],MATCH("4.2_"&amp;'Scenario data entry'!$H$104,Fates_Table[ID3],0))+INDEX(Fates_Table[Value],MATCH("4.3_"&amp;'Scenario data entry'!$H$105,Fates_Table[ID3],0))+INDEX(Fates_Table[Value],MATCH("4.4_"&amp;'Scenario data entry'!$H$106,Fates_Table[ID3],0))))</f>
        <v>#N/A</v>
      </c>
      <c r="G255" s="996"/>
      <c r="H255" s="644"/>
      <c r="I255" s="650"/>
      <c r="J255" s="215"/>
      <c r="K255" s="215"/>
      <c r="L255" s="215"/>
      <c r="M255" s="215"/>
    </row>
    <row r="256" spans="1:13" x14ac:dyDescent="0.25">
      <c r="A256" s="360"/>
      <c r="B256" s="166" t="s">
        <v>145</v>
      </c>
      <c r="C256" s="183" t="e">
        <f>C$160*(INDEX(Fates_Table[Value],MATCH("4.4_"&amp;'Baseline data entry'!E101,Fates_Table[ID3],0))/(INDEX(Fates_Table[Value],MATCH("4.1_"&amp;'Baseline data entry'!$E$98,Fates_Table[ID3],0))+INDEX(Fates_Table[Value],MATCH("4.2_"&amp;'Baseline data entry'!$E$99,Fates_Table[ID3],0))+INDEX(Fates_Table[Value],MATCH("4.3_"&amp;'Baseline data entry'!$E$100,Fates_Table[ID3],0))+INDEX(Fates_Table[Value],MATCH("4.4_"&amp;'Baseline data entry'!$E$101,Fates_Table[ID3],0))))</f>
        <v>#N/A</v>
      </c>
      <c r="D256" s="183" t="e">
        <f>D$160*(INDEX(Fates_Table[Value],MATCH("4.4_"&amp;'Scenario data entry'!F106,Fates_Table[ID3],0))/(INDEX(Fates_Table[Value],MATCH("4.1_"&amp;'Scenario data entry'!$F$103,Fates_Table[ID3],0))+INDEX(Fates_Table[Value],MATCH("4.2_"&amp;'Scenario data entry'!$F$104,Fates_Table[ID3],0))+INDEX(Fates_Table[Value],MATCH("4.3_"&amp;'Scenario data entry'!$F$105,Fates_Table[ID3],0))+INDEX(Fates_Table[Value],MATCH("4.4_"&amp;'Scenario data entry'!$F$106,Fates_Table[ID3],0))))</f>
        <v>#N/A</v>
      </c>
      <c r="E256" s="183" t="e">
        <f>E$160*(INDEX(Fates_Table[Value],MATCH("4.4_"&amp;'Scenario data entry'!G106,Fates_Table[ID3],0))/(INDEX(Fates_Table[Value],MATCH("4.1_"&amp;'Scenario data entry'!$G$103,Fates_Table[ID3],0))+INDEX(Fates_Table[Value],MATCH("4.2_"&amp;'Scenario data entry'!$G$104,Fates_Table[ID3],0))+INDEX(Fates_Table[Value],MATCH("4.3_"&amp;'Scenario data entry'!$G$105,Fates_Table[ID3],0))+INDEX(Fates_Table[Value],MATCH("4.4_"&amp;'Scenario data entry'!$G$106,Fates_Table[ID3],0))))</f>
        <v>#N/A</v>
      </c>
      <c r="F256" s="183" t="e">
        <f>F$160*(INDEX(Fates_Table[Value],MATCH("4.4_"&amp;'Scenario data entry'!H106,Fates_Table[ID3],0))/(INDEX(Fates_Table[Value],MATCH("4.1_"&amp;'Scenario data entry'!$H$103,Fates_Table[ID3],0))+INDEX(Fates_Table[Value],MATCH("4.2_"&amp;'Scenario data entry'!$H$104,Fates_Table[ID3],0))+INDEX(Fates_Table[Value],MATCH("4.3_"&amp;'Scenario data entry'!$H$105,Fates_Table[ID3],0))+INDEX(Fates_Table[Value],MATCH("4.4_"&amp;'Scenario data entry'!$H$106,Fates_Table[ID3],0))))</f>
        <v>#N/A</v>
      </c>
      <c r="G256" s="996"/>
      <c r="H256" s="644"/>
      <c r="I256" s="650"/>
      <c r="J256" s="215"/>
      <c r="K256" s="215"/>
      <c r="L256" s="215"/>
      <c r="M256" s="215"/>
    </row>
    <row r="257" spans="1:35" x14ac:dyDescent="0.25">
      <c r="A257" s="361"/>
      <c r="B257" s="169" t="s">
        <v>38</v>
      </c>
      <c r="C257" s="184" t="e">
        <f>SUM(C253:C256)</f>
        <v>#N/A</v>
      </c>
      <c r="D257" s="184" t="e">
        <f t="shared" ref="D257:E257" si="112">SUM(D253:D256)</f>
        <v>#N/A</v>
      </c>
      <c r="E257" s="184" t="e">
        <f t="shared" si="112"/>
        <v>#N/A</v>
      </c>
      <c r="F257" s="184" t="e">
        <f t="shared" ref="F257" si="113">SUM(F253:F256)</f>
        <v>#N/A</v>
      </c>
      <c r="G257" s="997"/>
      <c r="H257" s="644"/>
      <c r="I257" s="650"/>
      <c r="J257" s="215"/>
      <c r="K257" s="215"/>
      <c r="L257" s="215"/>
      <c r="M257" s="215"/>
    </row>
    <row r="258" spans="1:35" x14ac:dyDescent="0.25">
      <c r="A258" s="363"/>
      <c r="B258" s="176" t="s">
        <v>174</v>
      </c>
      <c r="C258" s="165" t="s">
        <v>143</v>
      </c>
      <c r="D258" s="165" t="s">
        <v>143</v>
      </c>
      <c r="E258" s="165" t="s">
        <v>143</v>
      </c>
      <c r="F258" s="165" t="s">
        <v>143</v>
      </c>
      <c r="G258" s="672"/>
      <c r="H258" s="644"/>
      <c r="I258" s="650"/>
      <c r="J258" s="215"/>
      <c r="K258" s="215"/>
      <c r="L258" s="215"/>
      <c r="M258" s="215"/>
    </row>
    <row r="259" spans="1:35" x14ac:dyDescent="0.25">
      <c r="A259" s="364"/>
      <c r="B259" s="166" t="s">
        <v>169</v>
      </c>
      <c r="C259" s="188">
        <v>0</v>
      </c>
      <c r="D259" s="188">
        <v>0</v>
      </c>
      <c r="E259" s="188">
        <v>0</v>
      </c>
      <c r="F259" s="188">
        <v>0</v>
      </c>
      <c r="G259" s="996">
        <f>INDEX(Uncertainty_Factors_Table[Value],MATCH('Baseline data entry'!I102,Uncertainty_factors,0))</f>
        <v>0.66</v>
      </c>
      <c r="H259" s="644"/>
      <c r="I259" s="650"/>
      <c r="J259" s="215"/>
      <c r="K259" s="215"/>
      <c r="L259" s="215"/>
      <c r="M259" s="215"/>
    </row>
    <row r="260" spans="1:35" x14ac:dyDescent="0.25">
      <c r="A260" s="364"/>
      <c r="B260" s="166" t="s">
        <v>170</v>
      </c>
      <c r="C260" s="183" t="e">
        <f>C$62*(INDEX(Fates_Table[Value],MATCH("3.1_"&amp;'Baseline data entry'!E102,Fates_Table[ID3],0))/(INDEX(Fates_Table[Value],MATCH("3.1_"&amp;'Baseline data entry'!$E$102,Fates_Table[ID3],0))+INDEX(Fates_Table[Value],MATCH("3.2_"&amp;'Baseline data entry'!$E$103,Fates_Table[ID3],0))+INDEX(Fates_Table[Value],MATCH("3.3_"&amp;'Baseline data entry'!$E$104,Fates_Table[ID3],0))))</f>
        <v>#N/A</v>
      </c>
      <c r="D260" s="183" t="e">
        <f>D$62*(INDEX(Fates_Table[Value],MATCH("3.1_"&amp;'Scenario data entry'!F107,Fates_Table[ID3],0))/(INDEX(Fates_Table[Value],MATCH("3.1_"&amp;'Scenario data entry'!$F$107,Fates_Table[ID3],0))+INDEX(Fates_Table[Value],MATCH("3.2_"&amp;'Scenario data entry'!$F$108,Fates_Table[ID3],0))+INDEX(Fates_Table[Value],MATCH("3.3_"&amp;'Scenario data entry'!$F$109,Fates_Table[ID3],0))))</f>
        <v>#N/A</v>
      </c>
      <c r="E260" s="183" t="e">
        <f>E$62*(INDEX(Fates_Table[Value],MATCH("3.1_"&amp;'Scenario data entry'!G107,Fates_Table[ID3],0))/(INDEX(Fates_Table[Value],MATCH("3.1_"&amp;'Scenario data entry'!$G$107,Fates_Table[ID3],0))+INDEX(Fates_Table[Value],MATCH("3.2_"&amp;'Scenario data entry'!$G$108,Fates_Table[ID3],0))+INDEX(Fates_Table[Value],MATCH("3.3_"&amp;'Scenario data entry'!$G$109,Fates_Table[ID3],0))))</f>
        <v>#N/A</v>
      </c>
      <c r="F260" s="183" t="e">
        <f>F$62*(INDEX(Fates_Table[Value],MATCH("3.1_"&amp;'Scenario data entry'!H107,Fates_Table[ID3],0))/(INDEX(Fates_Table[Value],MATCH("3.1_"&amp;'Scenario data entry'!$H$107,Fates_Table[ID3],0))+INDEX(Fates_Table[Value],MATCH("3.2_"&amp;'Scenario data entry'!$H$108,Fates_Table[ID3],0))+INDEX(Fates_Table[Value],MATCH("3.3_"&amp;'Scenario data entry'!$H$109,Fates_Table[ID3],0))))</f>
        <v>#N/A</v>
      </c>
      <c r="G260" s="996"/>
      <c r="H260" s="644"/>
      <c r="I260" s="215"/>
      <c r="J260" s="215"/>
      <c r="K260" s="215"/>
      <c r="L260" s="215"/>
      <c r="M260" s="215"/>
    </row>
    <row r="261" spans="1:35" x14ac:dyDescent="0.25">
      <c r="A261" s="364"/>
      <c r="B261" s="166" t="s">
        <v>144</v>
      </c>
      <c r="C261" s="183" t="e">
        <f>C$62*(INDEX(Fates_Table[Value],MATCH("3.2_"&amp;'Baseline data entry'!E103,Fates_Table[ID3],0))/(INDEX(Fates_Table[Value],MATCH("3.1_"&amp;'Baseline data entry'!$E$102,Fates_Table[ID3],0))+INDEX(Fates_Table[Value],MATCH("3.2_"&amp;'Baseline data entry'!$E$103,Fates_Table[ID3],0))+INDEX(Fates_Table[Value],MATCH("3.3_"&amp;'Baseline data entry'!$E$104,Fates_Table[ID3],0))))</f>
        <v>#N/A</v>
      </c>
      <c r="D261" s="183" t="e">
        <f>D$62*(INDEX(Fates_Table[Value],MATCH("3.2_"&amp;'Scenario data entry'!F108,Fates_Table[ID3],0))/(INDEX(Fates_Table[Value],MATCH("3.1_"&amp;'Scenario data entry'!$F$107,Fates_Table[ID3],0))+INDEX(Fates_Table[Value],MATCH("3.2_"&amp;'Scenario data entry'!$F$108,Fates_Table[ID3],0))+INDEX(Fates_Table[Value],MATCH("3.3_"&amp;'Scenario data entry'!$F$109,Fates_Table[ID3],0))))</f>
        <v>#N/A</v>
      </c>
      <c r="E261" s="183" t="e">
        <f>E$62*(INDEX(Fates_Table[Value],MATCH("3.2_"&amp;'Scenario data entry'!G108,Fates_Table[ID3],0))/(INDEX(Fates_Table[Value],MATCH("3.1_"&amp;'Scenario data entry'!$G$107,Fates_Table[ID3],0))+INDEX(Fates_Table[Value],MATCH("3.2_"&amp;'Scenario data entry'!$G$108,Fates_Table[ID3],0))+INDEX(Fates_Table[Value],MATCH("3.3_"&amp;'Scenario data entry'!$G$109,Fates_Table[ID3],0))))</f>
        <v>#N/A</v>
      </c>
      <c r="F261" s="183" t="e">
        <f>F$62*(INDEX(Fates_Table[Value],MATCH("3.2_"&amp;'Scenario data entry'!H108,Fates_Table[ID3],0))/(INDEX(Fates_Table[Value],MATCH("3.1_"&amp;'Scenario data entry'!$H$107,Fates_Table[ID3],0))+INDEX(Fates_Table[Value],MATCH("3.2_"&amp;'Scenario data entry'!$H$108,Fates_Table[ID3],0))+INDEX(Fates_Table[Value],MATCH("3.3_"&amp;'Scenario data entry'!$H$109,Fates_Table[ID3],0))))</f>
        <v>#N/A</v>
      </c>
      <c r="G261" s="996"/>
      <c r="H261" s="644"/>
      <c r="I261" s="215"/>
      <c r="J261" s="209"/>
      <c r="K261" s="209"/>
      <c r="L261" s="209"/>
      <c r="M261" s="209"/>
    </row>
    <row r="262" spans="1:35" s="157" customFormat="1" x14ac:dyDescent="0.2">
      <c r="A262" s="364"/>
      <c r="B262" s="166" t="s">
        <v>145</v>
      </c>
      <c r="C262" s="183" t="e">
        <f>C$62*(INDEX(Fates_Table[Value],MATCH("3.3_"&amp;'Baseline data entry'!E104,Fates_Table[ID3],0))/(INDEX(Fates_Table[Value],MATCH("3.1_"&amp;'Baseline data entry'!$E$102,Fates_Table[ID3],0))+INDEX(Fates_Table[Value],MATCH("3.2_"&amp;'Baseline data entry'!$E$103,Fates_Table[ID3],0))+INDEX(Fates_Table[Value],MATCH("3.3_"&amp;'Baseline data entry'!$E$104,Fates_Table[ID3],0))))</f>
        <v>#N/A</v>
      </c>
      <c r="D262" s="183" t="e">
        <f>D$62*(INDEX(Fates_Table[Value],MATCH("3.3_"&amp;'Scenario data entry'!F109,Fates_Table[ID3],0))/(INDEX(Fates_Table[Value],MATCH("3.1_"&amp;'Scenario data entry'!$F$107,Fates_Table[ID3],0))+INDEX(Fates_Table[Value],MATCH("3.2_"&amp;'Scenario data entry'!$F$108,Fates_Table[ID3],0))+INDEX(Fates_Table[Value],MATCH("3.3_"&amp;'Scenario data entry'!$F$109,Fates_Table[ID3],0))))</f>
        <v>#N/A</v>
      </c>
      <c r="E262" s="183" t="e">
        <f>E$62*(INDEX(Fates_Table[Value],MATCH("3.3_"&amp;'Scenario data entry'!G109,Fates_Table[ID3],0))/(INDEX(Fates_Table[Value],MATCH("3.1_"&amp;'Scenario data entry'!$G$107,Fates_Table[ID3],0))+INDEX(Fates_Table[Value],MATCH("3.2_"&amp;'Scenario data entry'!$G$108,Fates_Table[ID3],0))+INDEX(Fates_Table[Value],MATCH("3.3_"&amp;'Scenario data entry'!$G$109,Fates_Table[ID3],0))))</f>
        <v>#N/A</v>
      </c>
      <c r="F262" s="183" t="e">
        <f>F$62*(INDEX(Fates_Table[Value],MATCH("3.3_"&amp;'Scenario data entry'!H109,Fates_Table[ID3],0))/(INDEX(Fates_Table[Value],MATCH("3.1_"&amp;'Scenario data entry'!$H$107,Fates_Table[ID3],0))+INDEX(Fates_Table[Value],MATCH("3.2_"&amp;'Scenario data entry'!$H$108,Fates_Table[ID3],0))+INDEX(Fates_Table[Value],MATCH("3.3_"&amp;'Scenario data entry'!$H$109,Fates_Table[ID3],0))))</f>
        <v>#N/A</v>
      </c>
      <c r="G262" s="996"/>
      <c r="H262" s="644"/>
      <c r="I262" s="215"/>
      <c r="J262" s="215"/>
      <c r="K262" s="215"/>
      <c r="L262" s="215"/>
      <c r="M262" s="215"/>
      <c r="N262" s="143"/>
      <c r="O262" s="144"/>
      <c r="P262" s="144"/>
      <c r="Q262" s="144"/>
      <c r="R262" s="144"/>
      <c r="S262" s="144"/>
      <c r="T262" s="144"/>
      <c r="U262" s="144"/>
      <c r="V262" s="144"/>
      <c r="W262" s="144"/>
      <c r="X262" s="144"/>
      <c r="Y262" s="144"/>
      <c r="Z262" s="144"/>
      <c r="AA262" s="144"/>
      <c r="AB262" s="144"/>
      <c r="AC262" s="144"/>
      <c r="AD262" s="144"/>
      <c r="AE262" s="144"/>
      <c r="AF262" s="144"/>
      <c r="AG262" s="144"/>
      <c r="AH262" s="144"/>
      <c r="AI262" s="144"/>
    </row>
    <row r="263" spans="1:35" x14ac:dyDescent="0.25">
      <c r="A263" s="365"/>
      <c r="B263" s="169" t="s">
        <v>38</v>
      </c>
      <c r="C263" s="184" t="e">
        <f>SUM(C259:C262)</f>
        <v>#N/A</v>
      </c>
      <c r="D263" s="184" t="e">
        <f t="shared" ref="D263:E263" si="114">SUM(D259:D262)</f>
        <v>#N/A</v>
      </c>
      <c r="E263" s="184" t="e">
        <f t="shared" si="114"/>
        <v>#N/A</v>
      </c>
      <c r="F263" s="184" t="e">
        <f t="shared" ref="F263" si="115">SUM(F259:F262)</f>
        <v>#N/A</v>
      </c>
      <c r="G263" s="997"/>
      <c r="H263" s="644"/>
      <c r="I263" s="215"/>
      <c r="J263" s="215"/>
      <c r="K263" s="215"/>
      <c r="L263" s="215"/>
      <c r="M263" s="215"/>
    </row>
    <row r="264" spans="1:35" ht="18.75" x14ac:dyDescent="0.3">
      <c r="A264" s="180" t="s">
        <v>175</v>
      </c>
      <c r="B264" s="181"/>
      <c r="C264" s="182"/>
      <c r="D264" s="182"/>
      <c r="E264" s="182"/>
      <c r="F264" s="182"/>
      <c r="G264" s="673"/>
      <c r="H264" s="644"/>
      <c r="I264" s="215"/>
      <c r="J264" s="215"/>
      <c r="K264" s="215"/>
      <c r="L264" s="215"/>
      <c r="M264" s="215"/>
    </row>
    <row r="265" spans="1:35" x14ac:dyDescent="0.25">
      <c r="A265" s="366"/>
      <c r="B265" s="357" t="s">
        <v>324</v>
      </c>
      <c r="C265" s="413" t="s">
        <v>39</v>
      </c>
      <c r="D265" s="413" t="s">
        <v>39</v>
      </c>
      <c r="E265" s="413" t="s">
        <v>39</v>
      </c>
      <c r="F265" s="413" t="s">
        <v>39</v>
      </c>
      <c r="G265" s="676"/>
      <c r="H265" s="644"/>
      <c r="I265" s="215"/>
      <c r="J265" s="215"/>
      <c r="K265" s="215"/>
      <c r="L265" s="215"/>
      <c r="M265" s="215"/>
    </row>
    <row r="266" spans="1:35" x14ac:dyDescent="0.25">
      <c r="A266" s="367"/>
      <c r="B266" s="186" t="s">
        <v>326</v>
      </c>
      <c r="C266" s="194" t="e">
        <f>1-(INDEX(Reductions_Table[Value],MATCH("7.1_"&amp;'Baseline data entry'!E83,Reductions_Table[ID3],0))*INDEX(Reductions_Table[Value],MATCH("7.2_"&amp;'Baseline data entry'!E84,Reductions_Table[ID3],0)))/100</f>
        <v>#N/A</v>
      </c>
      <c r="D266" s="194" t="e">
        <f>1-(INDEX(Reductions_Table[Value],MATCH("7.1_"&amp;'Scenario data entry'!F88,Reductions_Table[ID3],0))*INDEX(Reductions_Table[Value],MATCH("7.2_"&amp;'Scenario data entry'!F89,Reductions_Table[ID3],0)))/100</f>
        <v>#N/A</v>
      </c>
      <c r="E266" s="194" t="e">
        <f>1-(INDEX(Reductions_Table[Value],MATCH("7.1_"&amp;'Scenario data entry'!G88,Reductions_Table[ID3],0))*INDEX(Reductions_Table[Value],MATCH("7.2_"&amp;'Scenario data entry'!G89,Reductions_Table[ID3],0)))/100</f>
        <v>#N/A</v>
      </c>
      <c r="F266" s="194" t="e">
        <f>1-(INDEX(Reductions_Table[Value],MATCH("7.1_"&amp;'Scenario data entry'!H88,Reductions_Table[ID3],0))*INDEX(Reductions_Table[Value],MATCH("7.2_"&amp;'Scenario data entry'!H89,Reductions_Table[ID3],0)))/100</f>
        <v>#N/A</v>
      </c>
      <c r="G266" s="987">
        <f>INDEX(Uncertainty_Factors_Table[Value],MATCH('Baseline data entry'!I83,Uncertainty_factors,0))</f>
        <v>0.33</v>
      </c>
      <c r="H266" s="644"/>
      <c r="I266" s="215"/>
      <c r="J266" s="215"/>
      <c r="K266" s="215"/>
      <c r="L266" s="215"/>
      <c r="M266" s="215"/>
    </row>
    <row r="267" spans="1:35" x14ac:dyDescent="0.25">
      <c r="A267" s="368"/>
      <c r="B267" s="358" t="s">
        <v>325</v>
      </c>
      <c r="C267" s="194" t="e">
        <f>1-C266</f>
        <v>#N/A</v>
      </c>
      <c r="D267" s="194" t="e">
        <f t="shared" ref="D267:F267" si="116">1-D266</f>
        <v>#N/A</v>
      </c>
      <c r="E267" s="194" t="e">
        <f t="shared" si="116"/>
        <v>#N/A</v>
      </c>
      <c r="F267" s="194" t="e">
        <f t="shared" si="116"/>
        <v>#N/A</v>
      </c>
      <c r="G267" s="988"/>
      <c r="H267" s="644"/>
      <c r="I267" s="215"/>
      <c r="J267" s="215"/>
      <c r="K267" s="215"/>
      <c r="L267" s="215"/>
      <c r="M267" s="215"/>
    </row>
    <row r="268" spans="1:35" x14ac:dyDescent="0.25">
      <c r="A268" s="577"/>
      <c r="B268" s="356" t="s">
        <v>176</v>
      </c>
      <c r="C268" s="165" t="s">
        <v>143</v>
      </c>
      <c r="D268" s="165" t="s">
        <v>143</v>
      </c>
      <c r="E268" s="165" t="s">
        <v>143</v>
      </c>
      <c r="F268" s="165" t="s">
        <v>143</v>
      </c>
      <c r="G268" s="677"/>
      <c r="H268" s="644"/>
      <c r="I268" s="215"/>
      <c r="J268" s="215"/>
      <c r="K268" s="215"/>
      <c r="L268" s="215"/>
      <c r="M268" s="215"/>
    </row>
    <row r="269" spans="1:35" s="148" customFormat="1" ht="30" customHeight="1" x14ac:dyDescent="0.2">
      <c r="A269" s="578" t="s">
        <v>177</v>
      </c>
      <c r="B269" s="166" t="s">
        <v>327</v>
      </c>
      <c r="C269" s="183" t="e">
        <f>C237+C243+C249+C261+C255</f>
        <v>#N/A</v>
      </c>
      <c r="D269" s="183" t="e">
        <f>D237+D243+D249+D261+D255</f>
        <v>#N/A</v>
      </c>
      <c r="E269" s="183" t="e">
        <f>E237+E243+E249+E261+E255</f>
        <v>#N/A</v>
      </c>
      <c r="F269" s="183" t="e">
        <f>F237+F243+F249+F261+F255</f>
        <v>#N/A</v>
      </c>
      <c r="G269" s="667" t="e">
        <f>((C237/C269)*G235)+((C243/C269)*G241)+((C249/C269)*G247)+((C255/C269)*G253)+((C261/C269)*G259)</f>
        <v>#N/A</v>
      </c>
      <c r="H269" s="656"/>
      <c r="I269" s="657"/>
      <c r="J269" s="657"/>
      <c r="K269" s="657"/>
      <c r="L269" s="657"/>
      <c r="M269" s="657"/>
      <c r="N269" s="104"/>
    </row>
    <row r="270" spans="1:35" s="148" customFormat="1" ht="30" customHeight="1" x14ac:dyDescent="0.25">
      <c r="A270" s="362" t="s">
        <v>178</v>
      </c>
      <c r="B270" s="196" t="s">
        <v>325</v>
      </c>
      <c r="C270" s="183" t="e">
        <f>C269*C267</f>
        <v>#N/A</v>
      </c>
      <c r="D270" s="183" t="e">
        <f t="shared" ref="D270:F270" si="117">D269*D267</f>
        <v>#N/A</v>
      </c>
      <c r="E270" s="183" t="e">
        <f t="shared" si="117"/>
        <v>#N/A</v>
      </c>
      <c r="F270" s="183" t="e">
        <f t="shared" si="117"/>
        <v>#N/A</v>
      </c>
      <c r="G270" s="667" t="e">
        <f>G266*G269</f>
        <v>#N/A</v>
      </c>
      <c r="H270" s="656"/>
      <c r="I270" s="657"/>
      <c r="J270" s="657"/>
      <c r="K270" s="657"/>
      <c r="L270" s="657"/>
      <c r="M270" s="657"/>
      <c r="N270" s="104"/>
    </row>
    <row r="271" spans="1:35" s="148" customFormat="1" ht="30" customHeight="1" x14ac:dyDescent="0.2">
      <c r="A271" s="579" t="s">
        <v>179</v>
      </c>
      <c r="B271" s="195" t="s">
        <v>328</v>
      </c>
      <c r="C271" s="197" t="e">
        <f>C269*C266</f>
        <v>#N/A</v>
      </c>
      <c r="D271" s="197" t="e">
        <f t="shared" ref="D271:F271" si="118">D269*D266</f>
        <v>#N/A</v>
      </c>
      <c r="E271" s="197" t="e">
        <f t="shared" si="118"/>
        <v>#N/A</v>
      </c>
      <c r="F271" s="197" t="e">
        <f t="shared" si="118"/>
        <v>#N/A</v>
      </c>
      <c r="G271" s="678" t="e">
        <f>G269*G266</f>
        <v>#N/A</v>
      </c>
      <c r="H271" s="656"/>
      <c r="I271" s="657"/>
      <c r="J271" s="657"/>
      <c r="K271" s="657"/>
      <c r="L271" s="657"/>
      <c r="M271" s="657"/>
      <c r="N271" s="104"/>
    </row>
    <row r="272" spans="1:35" x14ac:dyDescent="0.25">
      <c r="A272" s="575" t="s">
        <v>180</v>
      </c>
      <c r="B272" s="171" t="s">
        <v>329</v>
      </c>
      <c r="C272" s="165" t="s">
        <v>143</v>
      </c>
      <c r="D272" s="165" t="s">
        <v>143</v>
      </c>
      <c r="E272" s="165" t="s">
        <v>143</v>
      </c>
      <c r="F272" s="165" t="s">
        <v>143</v>
      </c>
      <c r="G272" s="677"/>
      <c r="H272" s="644"/>
      <c r="I272" s="215"/>
      <c r="J272" s="215"/>
      <c r="K272" s="215"/>
      <c r="L272" s="215"/>
      <c r="M272" s="215"/>
    </row>
    <row r="273" spans="1:13" x14ac:dyDescent="0.25">
      <c r="A273" s="576"/>
      <c r="B273" s="195" t="s">
        <v>727</v>
      </c>
      <c r="C273" s="197" t="e">
        <f>C262+C250+C244+C238+C256</f>
        <v>#N/A</v>
      </c>
      <c r="D273" s="197" t="e">
        <f>D262+D250+D244+D238+D256</f>
        <v>#N/A</v>
      </c>
      <c r="E273" s="197" t="e">
        <f>E262+E250+E244+E238+E256</f>
        <v>#N/A</v>
      </c>
      <c r="F273" s="197" t="e">
        <f>F262+F250+F244+F238+F256</f>
        <v>#N/A</v>
      </c>
      <c r="G273" s="678" t="e">
        <f>((C236/(C273))*G235)+((C242/(C273))*G241)+((C248/C273)*G247)+((C254/(C273))*G253)+((C260/(C273))*G259)</f>
        <v>#N/A</v>
      </c>
      <c r="H273" s="644"/>
      <c r="I273" s="215"/>
      <c r="J273" s="215"/>
      <c r="K273" s="215"/>
      <c r="L273" s="215"/>
      <c r="M273" s="215"/>
    </row>
    <row r="274" spans="1:13" ht="18.75" x14ac:dyDescent="0.3">
      <c r="A274" s="180" t="s">
        <v>181</v>
      </c>
      <c r="B274" s="181"/>
      <c r="C274" s="182"/>
      <c r="D274" s="182"/>
      <c r="E274" s="182"/>
      <c r="F274" s="182"/>
      <c r="G274" s="679"/>
      <c r="H274" s="644"/>
      <c r="I274" s="215"/>
      <c r="J274" s="215"/>
      <c r="K274" s="215"/>
      <c r="L274" s="215"/>
      <c r="M274" s="215"/>
    </row>
    <row r="275" spans="1:13" x14ac:dyDescent="0.25">
      <c r="A275" s="577"/>
      <c r="B275" s="171" t="s">
        <v>181</v>
      </c>
      <c r="C275" s="165" t="s">
        <v>143</v>
      </c>
      <c r="D275" s="165" t="s">
        <v>143</v>
      </c>
      <c r="E275" s="165" t="s">
        <v>143</v>
      </c>
      <c r="F275" s="165" t="s">
        <v>143</v>
      </c>
      <c r="G275" s="677"/>
      <c r="H275" s="644"/>
      <c r="I275" s="215"/>
      <c r="J275" s="215"/>
      <c r="K275" s="215"/>
      <c r="L275" s="215"/>
      <c r="M275" s="215"/>
    </row>
    <row r="276" spans="1:13" x14ac:dyDescent="0.25">
      <c r="A276" s="578" t="s">
        <v>182</v>
      </c>
      <c r="B276" s="198" t="s">
        <v>169</v>
      </c>
      <c r="C276" s="183" t="e">
        <f>C235+C241+C247+C259+C253</f>
        <v>#N/A</v>
      </c>
      <c r="D276" s="183" t="e">
        <f>D235+D241+D247+D259+D253</f>
        <v>#N/A</v>
      </c>
      <c r="E276" s="183" t="e">
        <f>E235+E241+E247+E259+E253</f>
        <v>#N/A</v>
      </c>
      <c r="F276" s="183" t="e">
        <f>F235+F241+F247+F259+F253</f>
        <v>#N/A</v>
      </c>
      <c r="G276" s="667">
        <f>IFERROR((C235/(C235+C241+#REF!+C247+#REF!+C253+C259))*G235,0)+IFERROR((C241/(C235+C241+#REF!+C247+#REF!+C253+C259))*G241,0)+IFERROR((#REF!/(C235+C241+#REF!+C247+#REF!+C253+C259))*#REF!,0)+IFERROR((C247/(C235+C241+#REF!+C247+#REF!+C253+C259))*G247,0)+IFERROR((#REF!/(C235+C241+#REF!+C247+#REF!+C253+C259))*#REF!,0)+IFERROR((C253/(C235+C241+#REF!+C247+#REF!+C253+C259))*G253,0)+IFERROR((C259/(C235+C241+#REF!+C247+#REF!+C253+C259))*G259,0)</f>
        <v>0</v>
      </c>
      <c r="H276" s="644"/>
      <c r="I276" s="215"/>
      <c r="J276" s="215"/>
      <c r="K276" s="215"/>
      <c r="L276" s="215"/>
      <c r="M276" s="215"/>
    </row>
    <row r="277" spans="1:13" x14ac:dyDescent="0.25">
      <c r="A277" s="362" t="s">
        <v>183</v>
      </c>
      <c r="B277" s="199" t="s">
        <v>184</v>
      </c>
      <c r="C277" s="183" t="e">
        <f>C273+C271</f>
        <v>#N/A</v>
      </c>
      <c r="D277" s="183" t="e">
        <f>D273+D271</f>
        <v>#N/A</v>
      </c>
      <c r="E277" s="183" t="e">
        <f>E273+E271</f>
        <v>#N/A</v>
      </c>
      <c r="F277" s="183" t="e">
        <f>F273+F271</f>
        <v>#N/A</v>
      </c>
      <c r="G277" s="668" t="e">
        <f>((C273/C277)*G273)+((C271/C277)*G271)</f>
        <v>#N/A</v>
      </c>
      <c r="H277" s="644"/>
      <c r="I277" s="215"/>
      <c r="J277" s="215"/>
      <c r="K277" s="215"/>
      <c r="L277" s="215"/>
      <c r="M277" s="215"/>
    </row>
    <row r="278" spans="1:13" x14ac:dyDescent="0.25">
      <c r="A278" s="362" t="s">
        <v>178</v>
      </c>
      <c r="B278" s="199" t="s">
        <v>325</v>
      </c>
      <c r="C278" s="183" t="e">
        <f>C270</f>
        <v>#N/A</v>
      </c>
      <c r="D278" s="183" t="e">
        <f t="shared" ref="D278:E278" si="119">D270</f>
        <v>#N/A</v>
      </c>
      <c r="E278" s="183" t="e">
        <f t="shared" si="119"/>
        <v>#N/A</v>
      </c>
      <c r="F278" s="183" t="e">
        <f t="shared" ref="F278" si="120">F270</f>
        <v>#N/A</v>
      </c>
      <c r="G278" s="667" t="e">
        <f>G270</f>
        <v>#N/A</v>
      </c>
      <c r="H278" s="644"/>
      <c r="I278" s="215"/>
      <c r="J278" s="215"/>
      <c r="K278" s="215"/>
      <c r="L278" s="215"/>
      <c r="M278" s="215"/>
    </row>
    <row r="279" spans="1:13" ht="16.5" thickBot="1" x14ac:dyDescent="0.3">
      <c r="A279" s="200" t="s">
        <v>185</v>
      </c>
      <c r="B279" s="201" t="s">
        <v>186</v>
      </c>
      <c r="C279" s="202" t="e">
        <f>C236+C242+C248+C260+C254</f>
        <v>#N/A</v>
      </c>
      <c r="D279" s="202" t="e">
        <f>D236+D242+D248+D260+D254</f>
        <v>#N/A</v>
      </c>
      <c r="E279" s="202" t="e">
        <f>E236+E242+E248+E260+E254</f>
        <v>#N/A</v>
      </c>
      <c r="F279" s="202" t="e">
        <f>F236+F242+F248+F260+F254</f>
        <v>#N/A</v>
      </c>
      <c r="G279" s="669">
        <f>IFERROR((C238/(C238+C244+#REF!+C250+#REF!+C256+C262))*G235,0)+IFERROR((C244/(C238+C244+#REF!+C250+#REF!+C256+C262))*G241,0)+IFERROR((#REF!/(C238+C244+#REF!+C250+#REF!+C256+C262))*#REF!,0)+IFERROR((C250/(C238+C244+#REF!+C250+#REF!+C256+C262))*G247,0)+IFERROR((#REF!/(C238+C244+#REF!+C250+#REF!+C256+C262))*#REF!,0)+IFERROR((C256/(C238+C244+#REF!+C250+#REF!+C256+C262))*G253,0)+IFERROR((C262/(C238+C244+#REF!+C250+#REF!+C256+C262))*G259,0)</f>
        <v>0</v>
      </c>
      <c r="H279" s="644"/>
      <c r="I279" s="215"/>
      <c r="J279" s="215"/>
      <c r="K279" s="215"/>
      <c r="L279" s="215"/>
      <c r="M279" s="215"/>
    </row>
  </sheetData>
  <sheetProtection algorithmName="SHA-512" hashValue="GrM8A3mQ2XWuVI7XGfh5rfp0n4yJFFw4/0kVNJ8ECYZn4Yv0lZ6MWDvvu2qHuhF7n858Qlo+tyz8sWUSkm7ARQ==" saltValue="2A4RtSleSFEjS+GaHAejKQ==" spinCount="100000" sheet="1"/>
  <mergeCells count="66">
    <mergeCell ref="G4:G10"/>
    <mergeCell ref="G12:G18"/>
    <mergeCell ref="G143:G149"/>
    <mergeCell ref="G86:G92"/>
    <mergeCell ref="G135:G141"/>
    <mergeCell ref="G103:G109"/>
    <mergeCell ref="G69:G75"/>
    <mergeCell ref="G77:G83"/>
    <mergeCell ref="G36:G42"/>
    <mergeCell ref="G28:G34"/>
    <mergeCell ref="G44:G50"/>
    <mergeCell ref="G53:G59"/>
    <mergeCell ref="A174:A181"/>
    <mergeCell ref="A3:A10"/>
    <mergeCell ref="A11:A18"/>
    <mergeCell ref="A35:A42"/>
    <mergeCell ref="A225:A232"/>
    <mergeCell ref="A183:A190"/>
    <mergeCell ref="A134:A141"/>
    <mergeCell ref="A158:A165"/>
    <mergeCell ref="A216:A223"/>
    <mergeCell ref="A27:A34"/>
    <mergeCell ref="A150:A157"/>
    <mergeCell ref="A118:A125"/>
    <mergeCell ref="A102:A109"/>
    <mergeCell ref="A43:A50"/>
    <mergeCell ref="G184:G190"/>
    <mergeCell ref="G61:G67"/>
    <mergeCell ref="G159:G165"/>
    <mergeCell ref="G111:G117"/>
    <mergeCell ref="G119:G125"/>
    <mergeCell ref="G94:G100"/>
    <mergeCell ref="G167:G173"/>
    <mergeCell ref="G175:G181"/>
    <mergeCell ref="G151:G157"/>
    <mergeCell ref="G127:G133"/>
    <mergeCell ref="I1:M1"/>
    <mergeCell ref="A52:A59"/>
    <mergeCell ref="A93:A100"/>
    <mergeCell ref="A166:A173"/>
    <mergeCell ref="A19:A26"/>
    <mergeCell ref="G20:G26"/>
    <mergeCell ref="A60:A67"/>
    <mergeCell ref="A85:A92"/>
    <mergeCell ref="I65:M65"/>
    <mergeCell ref="I20:M20"/>
    <mergeCell ref="I29:M29"/>
    <mergeCell ref="I38:M38"/>
    <mergeCell ref="I47:M47"/>
    <mergeCell ref="I56:M56"/>
    <mergeCell ref="A126:A133"/>
    <mergeCell ref="A68:A75"/>
    <mergeCell ref="G266:G267"/>
    <mergeCell ref="A191:A198"/>
    <mergeCell ref="G192:G198"/>
    <mergeCell ref="A199:A206"/>
    <mergeCell ref="A207:A214"/>
    <mergeCell ref="G208:G214"/>
    <mergeCell ref="G200:G206"/>
    <mergeCell ref="G235:G239"/>
    <mergeCell ref="G241:G245"/>
    <mergeCell ref="G247:G251"/>
    <mergeCell ref="G253:G257"/>
    <mergeCell ref="G259:G263"/>
    <mergeCell ref="G217:G223"/>
    <mergeCell ref="G226:G232"/>
  </mergeCells>
  <conditionalFormatting sqref="J31:M37 J49:M55 J58:M64 J22:M28 J4:M10 J67:M69 J13:M19 J40:M46">
    <cfRule type="cellIs" dxfId="34" priority="1" operator="notBetween">
      <formula>0.000000001</formula>
      <formula>-0.000000001</formula>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59" id="{8500944E-D75C-4FE0-A243-6923F4179A5C}">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C51:G51</xm:sqref>
        </x14:conditionalFormatting>
        <x14:conditionalFormatting xmlns:xm="http://schemas.microsoft.com/office/excel/2006/main">
          <x14:cfRule type="iconSet" priority="60" id="{006B8209-9AA3-4FA9-9F75-09C36DE202B5}">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C84:G84</xm:sqref>
        </x14:conditionalFormatting>
        <x14:conditionalFormatting xmlns:xm="http://schemas.microsoft.com/office/excel/2006/main">
          <x14:cfRule type="iconSet" priority="61" id="{454C5074-827D-4E4C-AD45-82A4BF8A660C}">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C101:G101</xm:sqref>
        </x14:conditionalFormatting>
        <x14:conditionalFormatting xmlns:xm="http://schemas.microsoft.com/office/excel/2006/main">
          <x14:cfRule type="iconSet" priority="62" id="{D5238433-AE92-4508-8D47-ED3A76EA3971}">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C182:G182</xm:sqref>
        </x14:conditionalFormatting>
        <x14:conditionalFormatting xmlns:xm="http://schemas.microsoft.com/office/excel/2006/main">
          <x14:cfRule type="iconSet" priority="63" id="{EAA521AB-CDF8-44CC-B03B-61AA18D5943D}">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C215:G215</xm:sqref>
        </x14:conditionalFormatting>
        <x14:conditionalFormatting xmlns:xm="http://schemas.microsoft.com/office/excel/2006/main">
          <x14:cfRule type="iconSet" priority="64" id="{4513C11D-C9B5-41A1-B2D0-00C3B8D900AD}">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C224:G224</xm:sqref>
        </x14:conditionalFormatting>
        <x14:conditionalFormatting xmlns:xm="http://schemas.microsoft.com/office/excel/2006/main">
          <x14:cfRule type="iconSet" priority="65" id="{CABF84A6-BEAA-45D9-B27F-2DA25EAFAE5F}">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C233:G233</xm:sqref>
        </x14:conditionalFormatting>
        <x14:conditionalFormatting xmlns:xm="http://schemas.microsoft.com/office/excel/2006/main">
          <x14:cfRule type="iconSet" priority="66" id="{4B9AC592-E68B-4D46-8DC7-003687B2EA74}">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C264:G264</xm:sqref>
        </x14:conditionalFormatting>
        <x14:conditionalFormatting xmlns:xm="http://schemas.microsoft.com/office/excel/2006/main">
          <x14:cfRule type="iconSet" priority="67" id="{79F80C79-0F8C-41F3-A3BB-3B6BC9976407}">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C274:G274</xm:sqref>
        </x14:conditionalFormatting>
        <x14:conditionalFormatting xmlns:xm="http://schemas.microsoft.com/office/excel/2006/main">
          <x14:cfRule type="iconSet" priority="92" id="{792D187A-75F6-4936-B130-A34437F1D654}">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C1:G2</xm:sqref>
        </x14:conditionalFormatting>
        <x14:conditionalFormatting xmlns:xm="http://schemas.microsoft.com/office/excel/2006/main">
          <x14:cfRule type="iconSet" priority="9" id="{2A542262-A288-4A65-BB9F-35860E8AD6C5}">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I9:I10</xm:sqref>
        </x14:conditionalFormatting>
        <x14:conditionalFormatting xmlns:xm="http://schemas.microsoft.com/office/excel/2006/main">
          <x14:cfRule type="iconSet" priority="8" id="{FC131C90-02FA-4758-8187-968A89C43E7F}">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I18:I19</xm:sqref>
        </x14:conditionalFormatting>
        <x14:conditionalFormatting xmlns:xm="http://schemas.microsoft.com/office/excel/2006/main">
          <x14:cfRule type="iconSet" priority="7" id="{4903C538-E9C6-49AF-B227-54BD0FC0B5BD}">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I27:I28</xm:sqref>
        </x14:conditionalFormatting>
        <x14:conditionalFormatting xmlns:xm="http://schemas.microsoft.com/office/excel/2006/main">
          <x14:cfRule type="iconSet" priority="6" id="{9209840E-B751-4071-82AA-5068CDDA7277}">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I36:I37</xm:sqref>
        </x14:conditionalFormatting>
        <x14:conditionalFormatting xmlns:xm="http://schemas.microsoft.com/office/excel/2006/main">
          <x14:cfRule type="iconSet" priority="5" id="{A609A4DE-B567-4FCB-86DB-FC3E36421CFA}">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I45:I46</xm:sqref>
        </x14:conditionalFormatting>
        <x14:conditionalFormatting xmlns:xm="http://schemas.microsoft.com/office/excel/2006/main">
          <x14:cfRule type="iconSet" priority="4" id="{2A9A4019-13D0-4CBD-97FF-FD2A9097DEC3}">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I54:I55</xm:sqref>
        </x14:conditionalFormatting>
        <x14:conditionalFormatting xmlns:xm="http://schemas.microsoft.com/office/excel/2006/main">
          <x14:cfRule type="iconSet" priority="3" id="{EA680BAD-4254-4D3C-841C-49F64970C3AF}">
            <x14:iconSet iconSet="3Symbols2" showValue="0" custom="1">
              <x14:cfvo type="percent">
                <xm:f>0</xm:f>
              </x14:cfvo>
              <x14:cfvo type="num">
                <xm:f>0</xm:f>
              </x14:cfvo>
              <x14:cfvo type="num" gte="0">
                <xm:f>0</xm:f>
              </x14:cfvo>
              <x14:cfIcon iconSet="3Symbols2" iconId="0"/>
              <x14:cfIcon iconSet="3Symbols2" iconId="2"/>
              <x14:cfIcon iconSet="3Symbols2" iconId="0"/>
            </x14:iconSet>
          </x14:cfRule>
          <xm:sqref>I63:I64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Y104"/>
  <sheetViews>
    <sheetView showGridLines="0" showRowColHeaders="0" zoomScaleNormal="100" workbookViewId="0">
      <selection sqref="A1:G1"/>
    </sheetView>
  </sheetViews>
  <sheetFormatPr baseColWidth="10" defaultColWidth="9" defaultRowHeight="12.75" x14ac:dyDescent="0.2"/>
  <cols>
    <col min="1" max="1" width="14.125" style="333" bestFit="1" customWidth="1"/>
    <col min="2" max="2" width="5.125" style="333" bestFit="1" customWidth="1"/>
    <col min="3" max="3" width="20.625" style="333" customWidth="1"/>
    <col min="4" max="4" width="5.125" style="333" bestFit="1" customWidth="1"/>
    <col min="5" max="5" width="11.125" style="334" bestFit="1" customWidth="1"/>
    <col min="6" max="6" width="14.125" style="334" bestFit="1" customWidth="1"/>
    <col min="7" max="7" width="6.625" style="333" customWidth="1"/>
    <col min="8" max="8" width="3.625" style="332" customWidth="1"/>
    <col min="9" max="9" width="19" style="332" bestFit="1" customWidth="1"/>
    <col min="10" max="10" width="21.625" style="332" bestFit="1" customWidth="1"/>
    <col min="11" max="11" width="5" style="332" customWidth="1"/>
    <col min="12" max="12" width="13.5" style="332" bestFit="1" customWidth="1"/>
    <col min="13" max="13" width="5" style="332" customWidth="1"/>
    <col min="14" max="14" width="7.5" style="332" bestFit="1" customWidth="1"/>
    <col min="15" max="15" width="10.375" style="332" bestFit="1" customWidth="1"/>
    <col min="16" max="16" width="6.625" style="332" bestFit="1" customWidth="1"/>
    <col min="17" max="17" width="3.625" style="332" customWidth="1"/>
    <col min="18" max="18" width="9" style="332"/>
    <col min="19" max="19" width="11.125" style="332" bestFit="1" customWidth="1"/>
    <col min="20" max="20" width="3.625" style="332" customWidth="1"/>
    <col min="21" max="22" width="9" style="332"/>
    <col min="23" max="23" width="4.625" style="332" customWidth="1"/>
    <col min="24" max="16384" width="9" style="332"/>
  </cols>
  <sheetData>
    <row r="1" spans="1:25" ht="16.5" customHeight="1" thickBot="1" x14ac:dyDescent="0.25">
      <c r="A1" s="1018" t="s">
        <v>252</v>
      </c>
      <c r="B1" s="1018"/>
      <c r="C1" s="1018"/>
      <c r="D1" s="1018"/>
      <c r="E1" s="1018"/>
      <c r="F1" s="1018"/>
      <c r="G1" s="1018"/>
      <c r="I1" s="1017" t="s">
        <v>253</v>
      </c>
      <c r="J1" s="1017"/>
      <c r="K1" s="1017"/>
      <c r="L1" s="1017"/>
      <c r="M1" s="1017"/>
      <c r="N1" s="1017"/>
      <c r="O1" s="1017"/>
      <c r="P1" s="1017"/>
      <c r="R1" s="1017" t="s">
        <v>254</v>
      </c>
      <c r="S1" s="1017"/>
      <c r="U1" s="1016" t="s">
        <v>255</v>
      </c>
      <c r="V1" s="1016"/>
      <c r="X1" s="1016" t="s">
        <v>256</v>
      </c>
      <c r="Y1" s="1016"/>
    </row>
    <row r="2" spans="1:25" ht="13.5" thickBot="1" x14ac:dyDescent="0.25">
      <c r="A2" s="333" t="s">
        <v>257</v>
      </c>
      <c r="B2" s="333" t="s">
        <v>258</v>
      </c>
      <c r="C2" s="333" t="s">
        <v>259</v>
      </c>
      <c r="D2" s="333" t="s">
        <v>260</v>
      </c>
      <c r="E2" s="334" t="s">
        <v>261</v>
      </c>
      <c r="F2" s="334" t="s">
        <v>262</v>
      </c>
      <c r="G2" s="333" t="s">
        <v>15</v>
      </c>
      <c r="I2" s="332" t="s">
        <v>263</v>
      </c>
      <c r="J2" s="332" t="s">
        <v>264</v>
      </c>
      <c r="K2" s="332" t="s">
        <v>258</v>
      </c>
      <c r="L2" s="332" t="s">
        <v>265</v>
      </c>
      <c r="M2" s="332" t="s">
        <v>260</v>
      </c>
      <c r="N2" s="332" t="s">
        <v>261</v>
      </c>
      <c r="O2" s="332" t="s">
        <v>262</v>
      </c>
      <c r="P2" s="332" t="s">
        <v>15</v>
      </c>
      <c r="R2" s="332" t="s">
        <v>266</v>
      </c>
      <c r="S2" s="332" t="s">
        <v>15</v>
      </c>
      <c r="U2" s="335" t="s">
        <v>266</v>
      </c>
      <c r="V2" s="336" t="s">
        <v>15</v>
      </c>
      <c r="X2" s="337" t="s">
        <v>267</v>
      </c>
      <c r="Y2" s="337" t="s">
        <v>123</v>
      </c>
    </row>
    <row r="3" spans="1:25" ht="13.5" thickTop="1" x14ac:dyDescent="0.2">
      <c r="A3" s="333" t="s">
        <v>268</v>
      </c>
      <c r="B3" s="333">
        <v>1</v>
      </c>
      <c r="C3" s="334" t="s">
        <v>61</v>
      </c>
      <c r="D3" s="334">
        <v>1.1000000000000001</v>
      </c>
      <c r="E3" s="333" t="s">
        <v>62</v>
      </c>
      <c r="F3" s="333" t="str">
        <f>Reductions_Table[[#This Row],[ID2]]&amp;"_"&amp;Reductions_Table[[#This Row],[Score]]</f>
        <v>1.1_Very high</v>
      </c>
      <c r="G3" s="333">
        <v>5</v>
      </c>
      <c r="I3" s="332" t="s">
        <v>269</v>
      </c>
      <c r="J3" s="332" t="s">
        <v>166</v>
      </c>
      <c r="K3" s="332">
        <v>1</v>
      </c>
      <c r="L3" s="332" t="s">
        <v>169</v>
      </c>
      <c r="M3" s="332">
        <v>1.1000000000000001</v>
      </c>
      <c r="N3" s="332" t="s">
        <v>94</v>
      </c>
      <c r="O3" s="332" t="str">
        <f>Fates_Table[[#This Row],[ID2]]&amp;"_"&amp;Fates_Table[[#This Row],[Score]]</f>
        <v>1.1_None</v>
      </c>
      <c r="P3" s="332">
        <v>0</v>
      </c>
      <c r="R3" s="332" t="s">
        <v>270</v>
      </c>
      <c r="S3" s="333" t="s">
        <v>62</v>
      </c>
      <c r="U3" s="338" t="s">
        <v>26</v>
      </c>
      <c r="V3" s="338">
        <v>1</v>
      </c>
      <c r="X3" s="339" t="s">
        <v>9</v>
      </c>
      <c r="Y3" s="332" t="s">
        <v>29</v>
      </c>
    </row>
    <row r="4" spans="1:25" x14ac:dyDescent="0.2">
      <c r="A4" s="333" t="s">
        <v>268</v>
      </c>
      <c r="B4" s="333">
        <v>1</v>
      </c>
      <c r="C4" s="334" t="s">
        <v>61</v>
      </c>
      <c r="D4" s="334">
        <v>1.1000000000000001</v>
      </c>
      <c r="E4" s="333" t="s">
        <v>26</v>
      </c>
      <c r="F4" s="333" t="str">
        <f>Reductions_Table[[#This Row],[ID2]]&amp;"_"&amp;Reductions_Table[[#This Row],[Score]]</f>
        <v>1.1_High</v>
      </c>
      <c r="G4" s="333">
        <v>2.5</v>
      </c>
      <c r="I4" s="332" t="s">
        <v>269</v>
      </c>
      <c r="J4" s="332" t="s">
        <v>166</v>
      </c>
      <c r="K4" s="332">
        <v>1</v>
      </c>
      <c r="L4" s="332" t="s">
        <v>169</v>
      </c>
      <c r="M4" s="347">
        <v>1.1000000000000001</v>
      </c>
      <c r="N4" s="347" t="s">
        <v>92</v>
      </c>
      <c r="O4" s="348" t="str">
        <f>Fates_Table[[#This Row],[ID2]]&amp;"_"&amp;Fates_Table[[#This Row],[Score]]</f>
        <v>1.1_Very low</v>
      </c>
      <c r="P4" s="347">
        <v>0.05</v>
      </c>
      <c r="R4" s="332" t="s">
        <v>270</v>
      </c>
      <c r="S4" s="332" t="s">
        <v>26</v>
      </c>
      <c r="U4" s="340" t="s">
        <v>22</v>
      </c>
      <c r="V4" s="340">
        <v>0.66</v>
      </c>
      <c r="X4" s="339" t="s">
        <v>99</v>
      </c>
      <c r="Y4" s="332" t="s">
        <v>32</v>
      </c>
    </row>
    <row r="5" spans="1:25" x14ac:dyDescent="0.2">
      <c r="A5" s="333" t="s">
        <v>268</v>
      </c>
      <c r="B5" s="333">
        <v>1</v>
      </c>
      <c r="C5" s="334" t="s">
        <v>61</v>
      </c>
      <c r="D5" s="334">
        <v>1.1000000000000001</v>
      </c>
      <c r="E5" s="333" t="s">
        <v>22</v>
      </c>
      <c r="F5" s="333" t="str">
        <f>Reductions_Table[[#This Row],[ID2]]&amp;"_"&amp;Reductions_Table[[#This Row],[Score]]</f>
        <v>1.1_Medium</v>
      </c>
      <c r="G5" s="333">
        <v>1</v>
      </c>
      <c r="I5" s="332" t="s">
        <v>269</v>
      </c>
      <c r="J5" s="332" t="s">
        <v>166</v>
      </c>
      <c r="K5" s="332">
        <v>1</v>
      </c>
      <c r="L5" s="332" t="s">
        <v>169</v>
      </c>
      <c r="M5" s="332">
        <v>1.1000000000000001</v>
      </c>
      <c r="N5" s="332" t="s">
        <v>44</v>
      </c>
      <c r="O5" s="332" t="str">
        <f>Fates_Table[[#This Row],[ID2]]&amp;"_"&amp;Fates_Table[[#This Row],[Score]]</f>
        <v>1.1_Low</v>
      </c>
      <c r="P5" s="332">
        <v>0.1</v>
      </c>
      <c r="R5" s="332" t="s">
        <v>270</v>
      </c>
      <c r="S5" s="332" t="s">
        <v>22</v>
      </c>
      <c r="U5" s="341" t="s">
        <v>44</v>
      </c>
      <c r="V5" s="341">
        <v>0.33</v>
      </c>
      <c r="X5" s="339" t="s">
        <v>100</v>
      </c>
      <c r="Y5" s="332" t="s">
        <v>33</v>
      </c>
    </row>
    <row r="6" spans="1:25" x14ac:dyDescent="0.2">
      <c r="A6" s="333" t="s">
        <v>268</v>
      </c>
      <c r="B6" s="333">
        <v>1</v>
      </c>
      <c r="C6" s="334" t="s">
        <v>61</v>
      </c>
      <c r="D6" s="334">
        <v>1.1000000000000001</v>
      </c>
      <c r="E6" s="333" t="s">
        <v>44</v>
      </c>
      <c r="F6" s="333" t="str">
        <f>Reductions_Table[[#This Row],[ID2]]&amp;"_"&amp;Reductions_Table[[#This Row],[Score]]</f>
        <v>1.1_Low</v>
      </c>
      <c r="G6" s="333">
        <v>0.6</v>
      </c>
      <c r="I6" s="332" t="s">
        <v>269</v>
      </c>
      <c r="J6" s="332" t="s">
        <v>166</v>
      </c>
      <c r="K6" s="332">
        <v>1</v>
      </c>
      <c r="L6" s="332" t="s">
        <v>169</v>
      </c>
      <c r="M6" s="332">
        <v>1.1000000000000001</v>
      </c>
      <c r="N6" s="332" t="s">
        <v>22</v>
      </c>
      <c r="O6" s="332" t="str">
        <f>Fates_Table[[#This Row],[ID2]]&amp;"_"&amp;Fates_Table[[#This Row],[Score]]</f>
        <v>1.1_Medium</v>
      </c>
      <c r="P6" s="332">
        <v>0.25</v>
      </c>
      <c r="R6" s="332" t="s">
        <v>270</v>
      </c>
      <c r="S6" s="332" t="s">
        <v>44</v>
      </c>
      <c r="X6" s="332" t="s">
        <v>101</v>
      </c>
      <c r="Y6" s="332" t="s">
        <v>34</v>
      </c>
    </row>
    <row r="7" spans="1:25" x14ac:dyDescent="0.2">
      <c r="A7" s="333" t="s">
        <v>268</v>
      </c>
      <c r="B7" s="333">
        <v>1</v>
      </c>
      <c r="C7" s="334" t="s">
        <v>61</v>
      </c>
      <c r="D7" s="334">
        <v>1.1000000000000001</v>
      </c>
      <c r="E7" s="333" t="s">
        <v>92</v>
      </c>
      <c r="F7" s="333" t="str">
        <f>Reductions_Table[[#This Row],[ID2]]&amp;"_"&amp;Reductions_Table[[#This Row],[Score]]</f>
        <v>1.1_Very low</v>
      </c>
      <c r="G7" s="333">
        <v>0.1</v>
      </c>
      <c r="I7" s="332" t="s">
        <v>269</v>
      </c>
      <c r="J7" s="332" t="s">
        <v>166</v>
      </c>
      <c r="K7" s="332">
        <v>1</v>
      </c>
      <c r="L7" s="332" t="s">
        <v>169</v>
      </c>
      <c r="M7" s="332">
        <v>1.1000000000000001</v>
      </c>
      <c r="N7" s="332" t="s">
        <v>26</v>
      </c>
      <c r="O7" s="332" t="str">
        <f>Fates_Table[[#This Row],[ID2]]&amp;"_"&amp;Fates_Table[[#This Row],[Score]]</f>
        <v>1.1_High</v>
      </c>
      <c r="P7" s="332">
        <v>0.4</v>
      </c>
      <c r="R7" s="332" t="s">
        <v>270</v>
      </c>
      <c r="S7" s="333" t="s">
        <v>92</v>
      </c>
      <c r="Y7" s="332" t="s">
        <v>35</v>
      </c>
    </row>
    <row r="8" spans="1:25" x14ac:dyDescent="0.2">
      <c r="A8" s="333" t="s">
        <v>268</v>
      </c>
      <c r="B8" s="333">
        <v>1</v>
      </c>
      <c r="C8" s="334" t="s">
        <v>63</v>
      </c>
      <c r="D8" s="334">
        <v>1.2</v>
      </c>
      <c r="E8" s="333" t="s">
        <v>26</v>
      </c>
      <c r="F8" s="345" t="str">
        <f>Reductions_Table[[#This Row],[ID2]]&amp;"_"&amp;Reductions_Table[[#This Row],[Score]]</f>
        <v>1.2_High</v>
      </c>
      <c r="G8" s="333">
        <v>1</v>
      </c>
      <c r="I8" s="332" t="s">
        <v>269</v>
      </c>
      <c r="J8" s="332" t="s">
        <v>166</v>
      </c>
      <c r="K8" s="347">
        <v>1</v>
      </c>
      <c r="L8" s="347" t="s">
        <v>169</v>
      </c>
      <c r="M8" s="347">
        <v>1.1000000000000001</v>
      </c>
      <c r="N8" s="347" t="s">
        <v>62</v>
      </c>
      <c r="O8" s="332" t="str">
        <f>Fates_Table[[#This Row],[ID2]]&amp;"_"&amp;Fates_Table[[#This Row],[Score]]</f>
        <v>1.1_Very high</v>
      </c>
      <c r="P8" s="347">
        <v>0.6</v>
      </c>
      <c r="R8" s="332" t="s">
        <v>271</v>
      </c>
      <c r="S8" s="332" t="s">
        <v>26</v>
      </c>
      <c r="Y8" s="332" t="s">
        <v>36</v>
      </c>
    </row>
    <row r="9" spans="1:25" x14ac:dyDescent="0.2">
      <c r="A9" s="333" t="s">
        <v>268</v>
      </c>
      <c r="B9" s="333">
        <v>1</v>
      </c>
      <c r="C9" s="334" t="s">
        <v>63</v>
      </c>
      <c r="D9" s="334">
        <v>1.2</v>
      </c>
      <c r="E9" s="333" t="s">
        <v>22</v>
      </c>
      <c r="F9" s="345" t="str">
        <f>Reductions_Table[[#This Row],[ID2]]&amp;"_"&amp;Reductions_Table[[#This Row],[Score]]</f>
        <v>1.2_Medium</v>
      </c>
      <c r="G9" s="333">
        <v>0.5</v>
      </c>
      <c r="I9" s="347" t="s">
        <v>269</v>
      </c>
      <c r="J9" s="347" t="s">
        <v>166</v>
      </c>
      <c r="K9" s="347">
        <v>1</v>
      </c>
      <c r="L9" s="347" t="s">
        <v>170</v>
      </c>
      <c r="M9" s="347">
        <v>1.2</v>
      </c>
      <c r="N9" s="347" t="s">
        <v>94</v>
      </c>
      <c r="O9" s="348" t="str">
        <f>Fates_Table[[#This Row],[ID2]]&amp;"_"&amp;Fates_Table[[#This Row],[Score]]</f>
        <v>1.2_None</v>
      </c>
      <c r="P9" s="347">
        <v>0</v>
      </c>
      <c r="R9" s="332" t="s">
        <v>271</v>
      </c>
      <c r="S9" s="332" t="s">
        <v>22</v>
      </c>
      <c r="Y9" s="332" t="s">
        <v>107</v>
      </c>
    </row>
    <row r="10" spans="1:25" x14ac:dyDescent="0.2">
      <c r="A10" s="333" t="s">
        <v>268</v>
      </c>
      <c r="B10" s="333">
        <v>1</v>
      </c>
      <c r="C10" s="334" t="s">
        <v>63</v>
      </c>
      <c r="D10" s="334">
        <v>1.2</v>
      </c>
      <c r="E10" s="333" t="s">
        <v>44</v>
      </c>
      <c r="F10" s="345" t="str">
        <f>Reductions_Table[[#This Row],[ID2]]&amp;"_"&amp;Reductions_Table[[#This Row],[Score]]</f>
        <v>1.2_Low</v>
      </c>
      <c r="G10" s="333">
        <v>0</v>
      </c>
      <c r="I10" s="347" t="s">
        <v>269</v>
      </c>
      <c r="J10" s="347" t="s">
        <v>166</v>
      </c>
      <c r="K10" s="347">
        <v>1</v>
      </c>
      <c r="L10" s="347" t="s">
        <v>170</v>
      </c>
      <c r="M10" s="347">
        <v>1.2</v>
      </c>
      <c r="N10" s="347" t="s">
        <v>92</v>
      </c>
      <c r="O10" s="348" t="str">
        <f>Fates_Table[[#This Row],[ID2]]&amp;"_"&amp;Fates_Table[[#This Row],[Score]]</f>
        <v>1.2_Very low</v>
      </c>
      <c r="P10" s="347">
        <v>0.1</v>
      </c>
      <c r="R10" s="332" t="s">
        <v>271</v>
      </c>
      <c r="S10" s="332" t="s">
        <v>44</v>
      </c>
    </row>
    <row r="11" spans="1:25" ht="25.5" x14ac:dyDescent="0.2">
      <c r="A11" s="333" t="s">
        <v>268</v>
      </c>
      <c r="B11" s="333">
        <v>1</v>
      </c>
      <c r="C11" s="334" t="s">
        <v>272</v>
      </c>
      <c r="D11" s="334">
        <v>1.3</v>
      </c>
      <c r="E11" s="333" t="s">
        <v>26</v>
      </c>
      <c r="F11" s="345" t="str">
        <f>Reductions_Table[[#This Row],[ID2]]&amp;"_"&amp;Reductions_Table[[#This Row],[Score]]</f>
        <v>1.3_High</v>
      </c>
      <c r="G11" s="333">
        <v>0.8</v>
      </c>
      <c r="I11" s="347" t="s">
        <v>269</v>
      </c>
      <c r="J11" s="347" t="s">
        <v>166</v>
      </c>
      <c r="K11" s="347">
        <v>1</v>
      </c>
      <c r="L11" s="347" t="s">
        <v>170</v>
      </c>
      <c r="M11" s="347">
        <v>1.2</v>
      </c>
      <c r="N11" s="347" t="s">
        <v>44</v>
      </c>
      <c r="O11" s="348" t="str">
        <f>Fates_Table[[#This Row],[ID2]]&amp;"_"&amp;Fates_Table[[#This Row],[Score]]</f>
        <v>1.2_Low</v>
      </c>
      <c r="P11" s="347">
        <v>0.2</v>
      </c>
      <c r="R11" s="332" t="s">
        <v>273</v>
      </c>
      <c r="S11" s="332" t="s">
        <v>26</v>
      </c>
    </row>
    <row r="12" spans="1:25" ht="25.5" x14ac:dyDescent="0.2">
      <c r="A12" s="333" t="s">
        <v>268</v>
      </c>
      <c r="B12" s="333">
        <v>1</v>
      </c>
      <c r="C12" s="334" t="s">
        <v>272</v>
      </c>
      <c r="D12" s="334">
        <v>1.3</v>
      </c>
      <c r="E12" s="333" t="s">
        <v>22</v>
      </c>
      <c r="F12" s="345" t="str">
        <f>Reductions_Table[[#This Row],[ID2]]&amp;"_"&amp;Reductions_Table[[#This Row],[Score]]</f>
        <v>1.3_Medium</v>
      </c>
      <c r="G12" s="333">
        <v>0.5</v>
      </c>
      <c r="I12" s="347" t="s">
        <v>269</v>
      </c>
      <c r="J12" s="347" t="s">
        <v>166</v>
      </c>
      <c r="K12" s="347">
        <v>1</v>
      </c>
      <c r="L12" s="347" t="s">
        <v>170</v>
      </c>
      <c r="M12" s="347">
        <v>1.2</v>
      </c>
      <c r="N12" s="347" t="s">
        <v>22</v>
      </c>
      <c r="O12" s="348" t="str">
        <f>Fates_Table[[#This Row],[ID2]]&amp;"_"&amp;Fates_Table[[#This Row],[Score]]</f>
        <v>1.2_Medium</v>
      </c>
      <c r="P12" s="347">
        <v>0.4</v>
      </c>
      <c r="R12" s="332" t="s">
        <v>273</v>
      </c>
      <c r="S12" s="332" t="s">
        <v>22</v>
      </c>
    </row>
    <row r="13" spans="1:25" ht="25.5" x14ac:dyDescent="0.2">
      <c r="A13" s="333" t="s">
        <v>268</v>
      </c>
      <c r="B13" s="333">
        <v>1</v>
      </c>
      <c r="C13" s="334" t="s">
        <v>272</v>
      </c>
      <c r="D13" s="334">
        <v>1.3</v>
      </c>
      <c r="E13" s="333" t="s">
        <v>44</v>
      </c>
      <c r="F13" s="345" t="str">
        <f>Reductions_Table[[#This Row],[ID2]]&amp;"_"&amp;Reductions_Table[[#This Row],[Score]]</f>
        <v>1.3_Low</v>
      </c>
      <c r="G13" s="333">
        <v>0</v>
      </c>
      <c r="I13" s="347" t="s">
        <v>269</v>
      </c>
      <c r="J13" s="347" t="s">
        <v>166</v>
      </c>
      <c r="K13" s="347">
        <v>1</v>
      </c>
      <c r="L13" s="347" t="s">
        <v>170</v>
      </c>
      <c r="M13" s="347">
        <v>1.2</v>
      </c>
      <c r="N13" s="347" t="s">
        <v>26</v>
      </c>
      <c r="O13" s="348" t="str">
        <f>Fates_Table[[#This Row],[ID2]]&amp;"_"&amp;Fates_Table[[#This Row],[Score]]</f>
        <v>1.2_High</v>
      </c>
      <c r="P13" s="347">
        <v>0.65</v>
      </c>
      <c r="R13" s="332" t="s">
        <v>273</v>
      </c>
      <c r="S13" s="332" t="s">
        <v>44</v>
      </c>
    </row>
    <row r="14" spans="1:25" ht="25.5" x14ac:dyDescent="0.2">
      <c r="A14" s="333" t="s">
        <v>268</v>
      </c>
      <c r="B14" s="333">
        <v>1</v>
      </c>
      <c r="C14" s="334" t="s">
        <v>272</v>
      </c>
      <c r="D14" s="334">
        <v>1.3</v>
      </c>
      <c r="E14" s="333" t="s">
        <v>46</v>
      </c>
      <c r="F14" s="345" t="str">
        <f>Reductions_Table[[#This Row],[ID2]]&amp;"_"&amp;Reductions_Table[[#This Row],[Score]]</f>
        <v>1.3_NA</v>
      </c>
      <c r="G14" s="333">
        <v>0</v>
      </c>
      <c r="I14" s="347" t="s">
        <v>269</v>
      </c>
      <c r="J14" s="347" t="s">
        <v>166</v>
      </c>
      <c r="K14" s="347">
        <v>1</v>
      </c>
      <c r="L14" s="347" t="s">
        <v>170</v>
      </c>
      <c r="M14" s="347">
        <v>1.2</v>
      </c>
      <c r="N14" s="347" t="s">
        <v>62</v>
      </c>
      <c r="O14" s="348" t="str">
        <f>Fates_Table[[#This Row],[ID2]]&amp;"_"&amp;Fates_Table[[#This Row],[Score]]</f>
        <v>1.2_Very high</v>
      </c>
      <c r="P14" s="347">
        <v>0.9</v>
      </c>
      <c r="R14" s="332" t="s">
        <v>273</v>
      </c>
      <c r="S14" s="332" t="s">
        <v>46</v>
      </c>
    </row>
    <row r="15" spans="1:25" ht="25.5" x14ac:dyDescent="0.2">
      <c r="A15" s="333" t="s">
        <v>268</v>
      </c>
      <c r="B15" s="333">
        <v>1</v>
      </c>
      <c r="C15" s="334" t="s">
        <v>65</v>
      </c>
      <c r="D15" s="334">
        <v>1.4</v>
      </c>
      <c r="E15" s="333" t="s">
        <v>26</v>
      </c>
      <c r="F15" s="345" t="str">
        <f>Reductions_Table[[#This Row],[ID2]]&amp;"_"&amp;Reductions_Table[[#This Row],[Score]]</f>
        <v>1.4_High</v>
      </c>
      <c r="G15" s="333">
        <v>4</v>
      </c>
      <c r="I15" s="347" t="s">
        <v>269</v>
      </c>
      <c r="J15" s="347" t="s">
        <v>166</v>
      </c>
      <c r="K15" s="347">
        <v>1</v>
      </c>
      <c r="L15" s="347" t="s">
        <v>144</v>
      </c>
      <c r="M15" s="347">
        <v>1.3</v>
      </c>
      <c r="N15" s="347" t="s">
        <v>94</v>
      </c>
      <c r="O15" s="348" t="str">
        <f>Fates_Table[[#This Row],[ID2]]&amp;"_"&amp;Fates_Table[[#This Row],[Score]]</f>
        <v>1.3_None</v>
      </c>
      <c r="P15" s="347">
        <v>0</v>
      </c>
      <c r="R15" s="332" t="s">
        <v>274</v>
      </c>
      <c r="S15" s="332" t="s">
        <v>62</v>
      </c>
    </row>
    <row r="16" spans="1:25" ht="25.5" x14ac:dyDescent="0.2">
      <c r="A16" s="333" t="s">
        <v>268</v>
      </c>
      <c r="B16" s="333">
        <v>1</v>
      </c>
      <c r="C16" s="334" t="s">
        <v>65</v>
      </c>
      <c r="D16" s="334">
        <v>1.4</v>
      </c>
      <c r="E16" s="333" t="s">
        <v>22</v>
      </c>
      <c r="F16" s="345" t="str">
        <f>Reductions_Table[[#This Row],[ID2]]&amp;"_"&amp;Reductions_Table[[#This Row],[Score]]</f>
        <v>1.4_Medium</v>
      </c>
      <c r="G16" s="333">
        <v>1</v>
      </c>
      <c r="I16" s="347" t="s">
        <v>269</v>
      </c>
      <c r="J16" s="347" t="s">
        <v>166</v>
      </c>
      <c r="K16" s="347">
        <v>1</v>
      </c>
      <c r="L16" s="347" t="s">
        <v>144</v>
      </c>
      <c r="M16" s="347">
        <v>1.3</v>
      </c>
      <c r="N16" s="347" t="s">
        <v>92</v>
      </c>
      <c r="O16" s="348" t="str">
        <f>Fates_Table[[#This Row],[ID2]]&amp;"_"&amp;Fates_Table[[#This Row],[Score]]</f>
        <v>1.3_Very low</v>
      </c>
      <c r="P16" s="347">
        <v>0.05</v>
      </c>
      <c r="R16" s="332" t="s">
        <v>274</v>
      </c>
      <c r="S16" s="332" t="s">
        <v>26</v>
      </c>
    </row>
    <row r="17" spans="1:19" ht="25.5" x14ac:dyDescent="0.2">
      <c r="A17" s="333" t="s">
        <v>268</v>
      </c>
      <c r="B17" s="333">
        <v>1</v>
      </c>
      <c r="C17" s="334" t="s">
        <v>65</v>
      </c>
      <c r="D17" s="334">
        <v>1.4</v>
      </c>
      <c r="E17" s="333" t="s">
        <v>44</v>
      </c>
      <c r="F17" s="345" t="str">
        <f>Reductions_Table[[#This Row],[ID2]]&amp;"_"&amp;Reductions_Table[[#This Row],[Score]]</f>
        <v>1.4_Low</v>
      </c>
      <c r="G17" s="333">
        <v>0</v>
      </c>
      <c r="I17" s="347" t="s">
        <v>269</v>
      </c>
      <c r="J17" s="347" t="s">
        <v>166</v>
      </c>
      <c r="K17" s="347">
        <v>1</v>
      </c>
      <c r="L17" s="347" t="s">
        <v>144</v>
      </c>
      <c r="M17" s="347">
        <v>1.3</v>
      </c>
      <c r="N17" s="347" t="s">
        <v>44</v>
      </c>
      <c r="O17" s="348" t="str">
        <f>Fates_Table[[#This Row],[ID2]]&amp;"_"&amp;Fates_Table[[#This Row],[Score]]</f>
        <v>1.3_Low</v>
      </c>
      <c r="P17" s="347">
        <v>0.1</v>
      </c>
      <c r="R17" s="332" t="s">
        <v>274</v>
      </c>
      <c r="S17" s="332" t="s">
        <v>22</v>
      </c>
    </row>
    <row r="18" spans="1:19" ht="25.5" x14ac:dyDescent="0.2">
      <c r="A18" s="333" t="s">
        <v>268</v>
      </c>
      <c r="B18" s="333">
        <v>1</v>
      </c>
      <c r="C18" s="334" t="s">
        <v>65</v>
      </c>
      <c r="D18" s="334">
        <v>1.4</v>
      </c>
      <c r="E18" s="333" t="s">
        <v>46</v>
      </c>
      <c r="F18" s="345" t="str">
        <f>Reductions_Table[[#This Row],[ID2]]&amp;"_"&amp;Reductions_Table[[#This Row],[Score]]</f>
        <v>1.4_NA</v>
      </c>
      <c r="G18" s="333">
        <v>0</v>
      </c>
      <c r="I18" s="347" t="s">
        <v>269</v>
      </c>
      <c r="J18" s="347" t="s">
        <v>166</v>
      </c>
      <c r="K18" s="347">
        <v>1</v>
      </c>
      <c r="L18" s="347" t="s">
        <v>144</v>
      </c>
      <c r="M18" s="347">
        <v>1.3</v>
      </c>
      <c r="N18" s="347" t="s">
        <v>22</v>
      </c>
      <c r="O18" s="348" t="str">
        <f>Fates_Table[[#This Row],[ID2]]&amp;"_"&amp;Fates_Table[[#This Row],[Score]]</f>
        <v>1.3_Medium</v>
      </c>
      <c r="P18" s="347">
        <v>0.2</v>
      </c>
      <c r="R18" s="332" t="s">
        <v>274</v>
      </c>
      <c r="S18" s="332" t="s">
        <v>44</v>
      </c>
    </row>
    <row r="19" spans="1:19" x14ac:dyDescent="0.2">
      <c r="A19" s="370" t="s">
        <v>236</v>
      </c>
      <c r="B19" s="333">
        <v>2</v>
      </c>
      <c r="C19" s="334" t="s">
        <v>200</v>
      </c>
      <c r="D19" s="334">
        <v>2.1</v>
      </c>
      <c r="E19" s="333" t="s">
        <v>26</v>
      </c>
      <c r="F19" s="345" t="str">
        <f>Reductions_Table[[#This Row],[ID2]]&amp;"_"&amp;Reductions_Table[[#This Row],[Score]]</f>
        <v>2.1_High</v>
      </c>
      <c r="G19" s="333">
        <v>2</v>
      </c>
      <c r="I19" s="347" t="s">
        <v>269</v>
      </c>
      <c r="J19" s="347" t="s">
        <v>166</v>
      </c>
      <c r="K19" s="347">
        <v>1</v>
      </c>
      <c r="L19" s="347" t="s">
        <v>144</v>
      </c>
      <c r="M19" s="347">
        <v>1.3</v>
      </c>
      <c r="N19" s="347" t="s">
        <v>26</v>
      </c>
      <c r="O19" s="348" t="str">
        <f>Fates_Table[[#This Row],[ID2]]&amp;"_"&amp;Fates_Table[[#This Row],[Score]]</f>
        <v>1.3_High</v>
      </c>
      <c r="P19" s="347">
        <v>0.4</v>
      </c>
      <c r="R19" s="332" t="s">
        <v>274</v>
      </c>
      <c r="S19" s="332" t="s">
        <v>94</v>
      </c>
    </row>
    <row r="20" spans="1:19" x14ac:dyDescent="0.2">
      <c r="A20" s="370" t="s">
        <v>236</v>
      </c>
      <c r="B20" s="333">
        <v>2</v>
      </c>
      <c r="C20" s="334" t="s">
        <v>200</v>
      </c>
      <c r="D20" s="334">
        <v>2.1</v>
      </c>
      <c r="E20" s="333" t="s">
        <v>22</v>
      </c>
      <c r="F20" s="345" t="str">
        <f>Reductions_Table[[#This Row],[ID2]]&amp;"_"&amp;Reductions_Table[[#This Row],[Score]]</f>
        <v>2.1_Medium</v>
      </c>
      <c r="G20" s="333">
        <v>0.8</v>
      </c>
      <c r="I20" s="347" t="s">
        <v>269</v>
      </c>
      <c r="J20" s="347" t="s">
        <v>166</v>
      </c>
      <c r="K20" s="347">
        <v>1</v>
      </c>
      <c r="L20" s="347" t="s">
        <v>144</v>
      </c>
      <c r="M20" s="347">
        <v>1.3</v>
      </c>
      <c r="N20" s="347" t="s">
        <v>62</v>
      </c>
      <c r="O20" s="348" t="str">
        <f>Fates_Table[[#This Row],[ID2]]&amp;"_"&amp;Fates_Table[[#This Row],[Score]]</f>
        <v>1.3_Very high</v>
      </c>
      <c r="P20" s="347">
        <v>0.6</v>
      </c>
      <c r="R20" s="332" t="s">
        <v>275</v>
      </c>
      <c r="S20" s="332" t="s">
        <v>62</v>
      </c>
    </row>
    <row r="21" spans="1:19" x14ac:dyDescent="0.2">
      <c r="A21" s="370" t="s">
        <v>236</v>
      </c>
      <c r="B21" s="333">
        <v>2</v>
      </c>
      <c r="C21" s="334" t="s">
        <v>200</v>
      </c>
      <c r="D21" s="334">
        <v>2.1</v>
      </c>
      <c r="E21" s="333" t="s">
        <v>44</v>
      </c>
      <c r="F21" s="345" t="str">
        <f>Reductions_Table[[#This Row],[ID2]]&amp;"_"&amp;Reductions_Table[[#This Row],[Score]]</f>
        <v>2.1_Low</v>
      </c>
      <c r="G21" s="333">
        <v>0.1</v>
      </c>
      <c r="I21" s="347" t="s">
        <v>269</v>
      </c>
      <c r="J21" s="347" t="s">
        <v>166</v>
      </c>
      <c r="K21" s="347">
        <v>1</v>
      </c>
      <c r="L21" s="347" t="s">
        <v>145</v>
      </c>
      <c r="M21" s="347">
        <v>1.4</v>
      </c>
      <c r="N21" s="347" t="s">
        <v>94</v>
      </c>
      <c r="O21" s="348" t="str">
        <f>Fates_Table[[#This Row],[ID2]]&amp;"_"&amp;Fates_Table[[#This Row],[Score]]</f>
        <v>1.4_None</v>
      </c>
      <c r="P21" s="347">
        <v>0</v>
      </c>
      <c r="R21" s="332" t="s">
        <v>275</v>
      </c>
      <c r="S21" s="332" t="s">
        <v>26</v>
      </c>
    </row>
    <row r="22" spans="1:19" ht="15.75" x14ac:dyDescent="0.25">
      <c r="A22" s="370" t="s">
        <v>236</v>
      </c>
      <c r="B22" s="333">
        <v>2</v>
      </c>
      <c r="C22" s="334" t="s">
        <v>67</v>
      </c>
      <c r="D22" s="334">
        <v>2.2000000000000002</v>
      </c>
      <c r="E22" s="333" t="s">
        <v>26</v>
      </c>
      <c r="F22" s="345" t="str">
        <f>Reductions_Table[[#This Row],[ID2]]&amp;"_"&amp;Reductions_Table[[#This Row],[Score]]</f>
        <v>2.2_High</v>
      </c>
      <c r="G22" s="333">
        <v>0.5</v>
      </c>
      <c r="I22" s="347" t="s">
        <v>269</v>
      </c>
      <c r="J22" s="347" t="s">
        <v>166</v>
      </c>
      <c r="K22" s="347">
        <v>1</v>
      </c>
      <c r="L22" s="347" t="s">
        <v>145</v>
      </c>
      <c r="M22" s="347">
        <v>1.4</v>
      </c>
      <c r="N22" s="347" t="s">
        <v>92</v>
      </c>
      <c r="O22" s="348" t="str">
        <f>Fates_Table[[#This Row],[ID2]]&amp;"_"&amp;Fates_Table[[#This Row],[Score]]</f>
        <v>1.4_Very low</v>
      </c>
      <c r="P22" s="347">
        <v>0.05</v>
      </c>
      <c r="Q22" s="344"/>
      <c r="R22" s="332" t="s">
        <v>275</v>
      </c>
      <c r="S22" s="332" t="s">
        <v>22</v>
      </c>
    </row>
    <row r="23" spans="1:19" ht="15.75" x14ac:dyDescent="0.25">
      <c r="A23" s="370" t="s">
        <v>236</v>
      </c>
      <c r="B23" s="333">
        <v>2</v>
      </c>
      <c r="C23" s="334" t="s">
        <v>67</v>
      </c>
      <c r="D23" s="334">
        <v>2.2000000000000002</v>
      </c>
      <c r="E23" s="333" t="s">
        <v>22</v>
      </c>
      <c r="F23" s="345" t="str">
        <f>Reductions_Table[[#This Row],[ID2]]&amp;"_"&amp;Reductions_Table[[#This Row],[Score]]</f>
        <v>2.2_Medium</v>
      </c>
      <c r="G23" s="333">
        <v>0.1</v>
      </c>
      <c r="I23" s="347" t="s">
        <v>269</v>
      </c>
      <c r="J23" s="347" t="s">
        <v>166</v>
      </c>
      <c r="K23" s="347">
        <v>1</v>
      </c>
      <c r="L23" s="347" t="s">
        <v>145</v>
      </c>
      <c r="M23" s="347">
        <v>1.4</v>
      </c>
      <c r="N23" s="347" t="s">
        <v>44</v>
      </c>
      <c r="O23" s="348" t="str">
        <f>Fates_Table[[#This Row],[ID2]]&amp;"_"&amp;Fates_Table[[#This Row],[Score]]</f>
        <v>1.4_Low</v>
      </c>
      <c r="P23" s="347">
        <v>0.1</v>
      </c>
      <c r="Q23" s="344"/>
      <c r="R23" s="332" t="s">
        <v>275</v>
      </c>
      <c r="S23" s="332" t="s">
        <v>44</v>
      </c>
    </row>
    <row r="24" spans="1:19" ht="15.75" x14ac:dyDescent="0.25">
      <c r="A24" s="370" t="s">
        <v>236</v>
      </c>
      <c r="B24" s="333">
        <v>2</v>
      </c>
      <c r="C24" s="334" t="s">
        <v>67</v>
      </c>
      <c r="D24" s="334">
        <v>2.2000000000000002</v>
      </c>
      <c r="E24" s="333" t="s">
        <v>44</v>
      </c>
      <c r="F24" s="345" t="str">
        <f>Reductions_Table[[#This Row],[ID2]]&amp;"_"&amp;Reductions_Table[[#This Row],[Score]]</f>
        <v>2.2_Low</v>
      </c>
      <c r="G24" s="333">
        <v>0</v>
      </c>
      <c r="I24" s="347" t="s">
        <v>269</v>
      </c>
      <c r="J24" s="347" t="s">
        <v>166</v>
      </c>
      <c r="K24" s="347">
        <v>1</v>
      </c>
      <c r="L24" s="347" t="s">
        <v>145</v>
      </c>
      <c r="M24" s="347">
        <v>1.4</v>
      </c>
      <c r="N24" s="347" t="s">
        <v>22</v>
      </c>
      <c r="O24" s="348" t="str">
        <f>Fates_Table[[#This Row],[ID2]]&amp;"_"&amp;Fates_Table[[#This Row],[Score]]</f>
        <v>1.4_Medium</v>
      </c>
      <c r="P24" s="347">
        <v>0.2</v>
      </c>
      <c r="Q24" s="344"/>
      <c r="R24" s="332" t="s">
        <v>276</v>
      </c>
      <c r="S24" s="332" t="s">
        <v>94</v>
      </c>
    </row>
    <row r="25" spans="1:19" ht="25.5" x14ac:dyDescent="0.25">
      <c r="A25" s="370" t="s">
        <v>277</v>
      </c>
      <c r="B25" s="333">
        <v>3</v>
      </c>
      <c r="C25" s="334" t="s">
        <v>278</v>
      </c>
      <c r="D25" s="334">
        <v>3.1</v>
      </c>
      <c r="E25" s="333" t="s">
        <v>62</v>
      </c>
      <c r="F25" s="345" t="str">
        <f>Reductions_Table[[#This Row],[ID2]]&amp;"_"&amp;Reductions_Table[[#This Row],[Score]]</f>
        <v>3.1_Very high</v>
      </c>
      <c r="G25" s="333">
        <v>100</v>
      </c>
      <c r="I25" s="347" t="s">
        <v>269</v>
      </c>
      <c r="J25" s="347" t="s">
        <v>166</v>
      </c>
      <c r="K25" s="347">
        <v>1</v>
      </c>
      <c r="L25" s="347" t="s">
        <v>145</v>
      </c>
      <c r="M25" s="347">
        <v>1.4</v>
      </c>
      <c r="N25" s="347" t="s">
        <v>26</v>
      </c>
      <c r="O25" s="348" t="str">
        <f>Fates_Table[[#This Row],[ID2]]&amp;"_"&amp;Fates_Table[[#This Row],[Score]]</f>
        <v>1.4_High</v>
      </c>
      <c r="P25" s="347">
        <v>0.3</v>
      </c>
      <c r="Q25" s="344"/>
      <c r="R25" s="332" t="s">
        <v>276</v>
      </c>
      <c r="S25" s="332" t="s">
        <v>44</v>
      </c>
    </row>
    <row r="26" spans="1:19" ht="25.5" x14ac:dyDescent="0.25">
      <c r="A26" s="370" t="s">
        <v>277</v>
      </c>
      <c r="B26" s="333">
        <v>3</v>
      </c>
      <c r="C26" s="334" t="s">
        <v>278</v>
      </c>
      <c r="D26" s="334">
        <v>3.1</v>
      </c>
      <c r="E26" s="333" t="s">
        <v>26</v>
      </c>
      <c r="F26" s="345" t="str">
        <f>Reductions_Table[[#This Row],[ID2]]&amp;"_"&amp;Reductions_Table[[#This Row],[Score]]</f>
        <v>3.1_High</v>
      </c>
      <c r="G26" s="333">
        <v>75</v>
      </c>
      <c r="I26" s="347" t="s">
        <v>269</v>
      </c>
      <c r="J26" s="347" t="s">
        <v>166</v>
      </c>
      <c r="K26" s="347">
        <v>1</v>
      </c>
      <c r="L26" s="347" t="s">
        <v>145</v>
      </c>
      <c r="M26" s="347">
        <v>1.4</v>
      </c>
      <c r="N26" s="347" t="s">
        <v>62</v>
      </c>
      <c r="O26" s="348" t="str">
        <f>Fates_Table[[#This Row],[ID2]]&amp;"_"&amp;Fates_Table[[#This Row],[Score]]</f>
        <v>1.4_Very high</v>
      </c>
      <c r="P26" s="347">
        <v>0.5</v>
      </c>
      <c r="Q26" s="344"/>
      <c r="R26" s="332" t="s">
        <v>276</v>
      </c>
      <c r="S26" s="332" t="s">
        <v>22</v>
      </c>
    </row>
    <row r="27" spans="1:19" ht="25.5" x14ac:dyDescent="0.25">
      <c r="A27" s="370" t="s">
        <v>277</v>
      </c>
      <c r="B27" s="333">
        <v>3</v>
      </c>
      <c r="C27" s="334" t="s">
        <v>278</v>
      </c>
      <c r="D27" s="334">
        <v>3.1</v>
      </c>
      <c r="E27" s="333" t="s">
        <v>22</v>
      </c>
      <c r="F27" s="345" t="str">
        <f>Reductions_Table[[#This Row],[ID2]]&amp;"_"&amp;Reductions_Table[[#This Row],[Score]]</f>
        <v>3.1_Medium</v>
      </c>
      <c r="G27" s="333">
        <v>40</v>
      </c>
      <c r="I27" s="347" t="s">
        <v>171</v>
      </c>
      <c r="J27" s="347" t="s">
        <v>279</v>
      </c>
      <c r="K27" s="347">
        <v>2</v>
      </c>
      <c r="L27" s="347" t="s">
        <v>170</v>
      </c>
      <c r="M27" s="347">
        <v>2.1</v>
      </c>
      <c r="N27" s="347" t="s">
        <v>94</v>
      </c>
      <c r="O27" s="348" t="str">
        <f>Fates_Table[[#This Row],[ID2]]&amp;"_"&amp;Fates_Table[[#This Row],[Score]]</f>
        <v>2.1_None</v>
      </c>
      <c r="P27" s="347">
        <v>0</v>
      </c>
      <c r="Q27" s="344"/>
      <c r="R27" s="332" t="s">
        <v>276</v>
      </c>
      <c r="S27" s="332" t="s">
        <v>26</v>
      </c>
    </row>
    <row r="28" spans="1:19" ht="25.5" x14ac:dyDescent="0.25">
      <c r="A28" s="370" t="s">
        <v>277</v>
      </c>
      <c r="B28" s="333">
        <v>3</v>
      </c>
      <c r="C28" s="334" t="s">
        <v>278</v>
      </c>
      <c r="D28" s="334">
        <v>3.1</v>
      </c>
      <c r="E28" s="333" t="s">
        <v>44</v>
      </c>
      <c r="F28" s="345" t="str">
        <f>Reductions_Table[[#This Row],[ID2]]&amp;"_"&amp;Reductions_Table[[#This Row],[Score]]</f>
        <v>3.1_Low</v>
      </c>
      <c r="G28" s="333">
        <v>5</v>
      </c>
      <c r="I28" s="347" t="s">
        <v>171</v>
      </c>
      <c r="J28" s="347" t="s">
        <v>279</v>
      </c>
      <c r="K28" s="347">
        <v>2</v>
      </c>
      <c r="L28" s="347" t="s">
        <v>170</v>
      </c>
      <c r="M28" s="347">
        <v>2.1</v>
      </c>
      <c r="N28" s="347" t="s">
        <v>92</v>
      </c>
      <c r="O28" s="348" t="str">
        <f>Fates_Table[[#This Row],[ID2]]&amp;"_"&amp;Fates_Table[[#This Row],[Score]]</f>
        <v>2.1_Very low</v>
      </c>
      <c r="P28" s="347">
        <v>0.2</v>
      </c>
      <c r="Q28" s="344"/>
      <c r="R28" s="332" t="s">
        <v>276</v>
      </c>
      <c r="S28" s="332" t="s">
        <v>280</v>
      </c>
    </row>
    <row r="29" spans="1:19" ht="25.5" x14ac:dyDescent="0.25">
      <c r="A29" s="370" t="s">
        <v>277</v>
      </c>
      <c r="B29" s="371">
        <v>3</v>
      </c>
      <c r="C29" s="334" t="s">
        <v>278</v>
      </c>
      <c r="D29" s="372">
        <v>3.1</v>
      </c>
      <c r="E29" s="333" t="s">
        <v>94</v>
      </c>
      <c r="F29" s="345" t="str">
        <f>Reductions_Table[[#This Row],[ID2]]&amp;"_"&amp;Reductions_Table[[#This Row],[Score]]</f>
        <v>3.1_None</v>
      </c>
      <c r="G29" s="371">
        <v>0</v>
      </c>
      <c r="I29" s="347" t="s">
        <v>171</v>
      </c>
      <c r="J29" s="347" t="s">
        <v>279</v>
      </c>
      <c r="K29" s="347">
        <v>2</v>
      </c>
      <c r="L29" s="347" t="s">
        <v>170</v>
      </c>
      <c r="M29" s="347">
        <v>2.1</v>
      </c>
      <c r="N29" s="347" t="s">
        <v>44</v>
      </c>
      <c r="O29" s="348" t="str">
        <f>Fates_Table[[#This Row],[ID2]]&amp;"_"&amp;Fates_Table[[#This Row],[Score]]</f>
        <v>2.1_Low</v>
      </c>
      <c r="P29" s="347">
        <v>0.4</v>
      </c>
      <c r="Q29" s="344"/>
      <c r="R29" s="332" t="s">
        <v>281</v>
      </c>
      <c r="S29" s="332" t="s">
        <v>94</v>
      </c>
    </row>
    <row r="30" spans="1:19" ht="25.5" x14ac:dyDescent="0.25">
      <c r="A30" s="370" t="s">
        <v>285</v>
      </c>
      <c r="B30" s="371">
        <v>4</v>
      </c>
      <c r="C30" s="334" t="s">
        <v>278</v>
      </c>
      <c r="D30" s="334">
        <v>4.0999999999999996</v>
      </c>
      <c r="E30" s="333" t="s">
        <v>62</v>
      </c>
      <c r="F30" s="345" t="str">
        <f>Reductions_Table[[#This Row],[ID2]]&amp;"_"&amp;Reductions_Table[[#This Row],[Score]]</f>
        <v>4.1_Very high</v>
      </c>
      <c r="G30" s="333">
        <v>100</v>
      </c>
      <c r="I30" s="347" t="s">
        <v>171</v>
      </c>
      <c r="J30" s="347" t="s">
        <v>279</v>
      </c>
      <c r="K30" s="347">
        <v>2</v>
      </c>
      <c r="L30" s="347" t="s">
        <v>170</v>
      </c>
      <c r="M30" s="347">
        <v>2.1</v>
      </c>
      <c r="N30" s="347" t="s">
        <v>22</v>
      </c>
      <c r="O30" s="348" t="str">
        <f>Fates_Table[[#This Row],[ID2]]&amp;"_"&amp;Fates_Table[[#This Row],[Score]]</f>
        <v>2.1_Medium</v>
      </c>
      <c r="P30" s="347">
        <v>0.6</v>
      </c>
      <c r="Q30" s="344"/>
      <c r="R30" s="332" t="s">
        <v>281</v>
      </c>
      <c r="S30" s="343" t="s">
        <v>44</v>
      </c>
    </row>
    <row r="31" spans="1:19" ht="25.5" x14ac:dyDescent="0.25">
      <c r="A31" s="370" t="s">
        <v>285</v>
      </c>
      <c r="B31" s="371">
        <v>4</v>
      </c>
      <c r="C31" s="334" t="s">
        <v>278</v>
      </c>
      <c r="D31" s="334">
        <v>4.0999999999999996</v>
      </c>
      <c r="E31" s="333" t="s">
        <v>26</v>
      </c>
      <c r="F31" s="345" t="str">
        <f>Reductions_Table[[#This Row],[ID2]]&amp;"_"&amp;Reductions_Table[[#This Row],[Score]]</f>
        <v>4.1_High</v>
      </c>
      <c r="G31" s="333">
        <v>75</v>
      </c>
      <c r="I31" s="347" t="s">
        <v>171</v>
      </c>
      <c r="J31" s="347" t="s">
        <v>279</v>
      </c>
      <c r="K31" s="347">
        <v>2</v>
      </c>
      <c r="L31" s="347" t="s">
        <v>170</v>
      </c>
      <c r="M31" s="347">
        <v>2.1</v>
      </c>
      <c r="N31" s="347" t="s">
        <v>26</v>
      </c>
      <c r="O31" s="348" t="str">
        <f>Fates_Table[[#This Row],[ID2]]&amp;"_"&amp;Fates_Table[[#This Row],[Score]]</f>
        <v>2.1_High</v>
      </c>
      <c r="P31" s="347">
        <v>0.8</v>
      </c>
      <c r="Q31" s="344"/>
      <c r="R31" s="332" t="s">
        <v>281</v>
      </c>
      <c r="S31" s="343" t="s">
        <v>22</v>
      </c>
    </row>
    <row r="32" spans="1:19" ht="25.5" x14ac:dyDescent="0.25">
      <c r="A32" s="370" t="s">
        <v>285</v>
      </c>
      <c r="B32" s="371">
        <v>4</v>
      </c>
      <c r="C32" s="334" t="s">
        <v>278</v>
      </c>
      <c r="D32" s="334">
        <v>4.0999999999999996</v>
      </c>
      <c r="E32" s="333" t="s">
        <v>22</v>
      </c>
      <c r="F32" s="345" t="str">
        <f>Reductions_Table[[#This Row],[ID2]]&amp;"_"&amp;Reductions_Table[[#This Row],[Score]]</f>
        <v>4.1_Medium</v>
      </c>
      <c r="G32" s="333">
        <v>40</v>
      </c>
      <c r="I32" s="347" t="s">
        <v>171</v>
      </c>
      <c r="J32" s="347" t="s">
        <v>279</v>
      </c>
      <c r="K32" s="347">
        <v>2</v>
      </c>
      <c r="L32" s="347" t="s">
        <v>170</v>
      </c>
      <c r="M32" s="347">
        <v>2.1</v>
      </c>
      <c r="N32" s="347" t="s">
        <v>62</v>
      </c>
      <c r="O32" s="348" t="str">
        <f>Fates_Table[[#This Row],[ID2]]&amp;"_"&amp;Fates_Table[[#This Row],[Score]]</f>
        <v>2.1_Very high</v>
      </c>
      <c r="P32" s="347">
        <v>1</v>
      </c>
      <c r="Q32" s="344"/>
      <c r="R32" s="332" t="s">
        <v>281</v>
      </c>
      <c r="S32" s="343" t="s">
        <v>26</v>
      </c>
    </row>
    <row r="33" spans="1:19" ht="25.5" x14ac:dyDescent="0.25">
      <c r="A33" s="370" t="s">
        <v>285</v>
      </c>
      <c r="B33" s="371">
        <v>4</v>
      </c>
      <c r="C33" s="334" t="s">
        <v>278</v>
      </c>
      <c r="D33" s="334">
        <v>4.0999999999999996</v>
      </c>
      <c r="E33" s="333" t="s">
        <v>44</v>
      </c>
      <c r="F33" s="345" t="str">
        <f>Reductions_Table[[#This Row],[ID2]]&amp;"_"&amp;Reductions_Table[[#This Row],[Score]]</f>
        <v>4.1_Low</v>
      </c>
      <c r="G33" s="333">
        <v>5</v>
      </c>
      <c r="I33" s="347" t="s">
        <v>171</v>
      </c>
      <c r="J33" s="347" t="s">
        <v>279</v>
      </c>
      <c r="K33" s="347">
        <v>2</v>
      </c>
      <c r="L33" s="347" t="s">
        <v>144</v>
      </c>
      <c r="M33" s="347">
        <v>2.2000000000000002</v>
      </c>
      <c r="N33" s="347" t="s">
        <v>94</v>
      </c>
      <c r="O33" s="348" t="str">
        <f>Fates_Table[[#This Row],[ID2]]&amp;"_"&amp;Fates_Table[[#This Row],[Score]]</f>
        <v>2.2_None</v>
      </c>
      <c r="P33" s="347">
        <v>0</v>
      </c>
      <c r="Q33" s="344"/>
      <c r="R33" s="347" t="s">
        <v>282</v>
      </c>
      <c r="S33" s="385" t="s">
        <v>47</v>
      </c>
    </row>
    <row r="34" spans="1:19" ht="25.5" x14ac:dyDescent="0.25">
      <c r="A34" s="370" t="s">
        <v>285</v>
      </c>
      <c r="B34" s="371">
        <v>4</v>
      </c>
      <c r="C34" s="334" t="s">
        <v>278</v>
      </c>
      <c r="D34" s="372">
        <v>4.0999999999999996</v>
      </c>
      <c r="E34" s="333" t="s">
        <v>94</v>
      </c>
      <c r="F34" s="345" t="str">
        <f>Reductions_Table[[#This Row],[ID2]]&amp;"_"&amp;Reductions_Table[[#This Row],[Score]]</f>
        <v>4.1_None</v>
      </c>
      <c r="G34" s="371">
        <v>0</v>
      </c>
      <c r="I34" s="347" t="s">
        <v>171</v>
      </c>
      <c r="J34" s="347" t="s">
        <v>279</v>
      </c>
      <c r="K34" s="347">
        <v>2</v>
      </c>
      <c r="L34" s="347" t="s">
        <v>144</v>
      </c>
      <c r="M34" s="347">
        <v>2.2000000000000002</v>
      </c>
      <c r="N34" s="347" t="s">
        <v>92</v>
      </c>
      <c r="O34" s="348" t="str">
        <f>Fates_Table[[#This Row],[ID2]]&amp;"_"&amp;Fates_Table[[#This Row],[Score]]</f>
        <v>2.2_Very low</v>
      </c>
      <c r="P34" s="347">
        <v>0.1</v>
      </c>
      <c r="Q34" s="344"/>
      <c r="R34" s="347" t="s">
        <v>282</v>
      </c>
      <c r="S34" s="385" t="s">
        <v>283</v>
      </c>
    </row>
    <row r="35" spans="1:19" ht="15.75" x14ac:dyDescent="0.25">
      <c r="A35" s="370" t="s">
        <v>235</v>
      </c>
      <c r="B35" s="371">
        <v>5</v>
      </c>
      <c r="C35" s="372" t="s">
        <v>74</v>
      </c>
      <c r="D35" s="372">
        <v>5.0999999999999996</v>
      </c>
      <c r="E35" s="333" t="s">
        <v>26</v>
      </c>
      <c r="F35" s="373" t="str">
        <f>Reductions_Table[[#This Row],[ID2]]&amp;"_"&amp;Reductions_Table[[#This Row],[Score]]</f>
        <v>5.1_High</v>
      </c>
      <c r="G35" s="371">
        <v>0.5</v>
      </c>
      <c r="I35" s="347" t="s">
        <v>171</v>
      </c>
      <c r="J35" s="347" t="s">
        <v>279</v>
      </c>
      <c r="K35" s="347">
        <v>2</v>
      </c>
      <c r="L35" s="347" t="s">
        <v>144</v>
      </c>
      <c r="M35" s="347">
        <v>2.2000000000000002</v>
      </c>
      <c r="N35" s="347" t="s">
        <v>44</v>
      </c>
      <c r="O35" s="348" t="str">
        <f>Fates_Table[[#This Row],[ID2]]&amp;"_"&amp;Fates_Table[[#This Row],[Score]]</f>
        <v>2.2_Low</v>
      </c>
      <c r="P35" s="347">
        <v>0.2</v>
      </c>
      <c r="Q35" s="344"/>
      <c r="R35" s="347" t="s">
        <v>284</v>
      </c>
      <c r="S35" s="385" t="s">
        <v>94</v>
      </c>
    </row>
    <row r="36" spans="1:19" ht="15.75" x14ac:dyDescent="0.25">
      <c r="A36" s="370" t="s">
        <v>235</v>
      </c>
      <c r="B36" s="371">
        <v>5</v>
      </c>
      <c r="C36" s="372" t="s">
        <v>74</v>
      </c>
      <c r="D36" s="372">
        <v>5.0999999999999996</v>
      </c>
      <c r="E36" s="333" t="s">
        <v>22</v>
      </c>
      <c r="F36" s="373" t="str">
        <f>Reductions_Table[[#This Row],[ID2]]&amp;"_"&amp;Reductions_Table[[#This Row],[Score]]</f>
        <v>5.1_Medium</v>
      </c>
      <c r="G36" s="371">
        <v>0.3</v>
      </c>
      <c r="I36" s="347" t="s">
        <v>171</v>
      </c>
      <c r="J36" s="347" t="s">
        <v>279</v>
      </c>
      <c r="K36" s="347">
        <v>2</v>
      </c>
      <c r="L36" s="347" t="s">
        <v>144</v>
      </c>
      <c r="M36" s="347">
        <v>2.2000000000000002</v>
      </c>
      <c r="N36" s="347" t="s">
        <v>22</v>
      </c>
      <c r="O36" s="348" t="str">
        <f>Fates_Table[[#This Row],[ID2]]&amp;"_"&amp;Fates_Table[[#This Row],[Score]]</f>
        <v>2.2_Medium</v>
      </c>
      <c r="P36" s="347">
        <v>0.3</v>
      </c>
      <c r="Q36" s="344"/>
      <c r="R36" s="347" t="s">
        <v>284</v>
      </c>
      <c r="S36" s="385" t="s">
        <v>92</v>
      </c>
    </row>
    <row r="37" spans="1:19" ht="15.75" x14ac:dyDescent="0.25">
      <c r="A37" s="370" t="s">
        <v>235</v>
      </c>
      <c r="B37" s="371">
        <v>5</v>
      </c>
      <c r="C37" s="372" t="s">
        <v>74</v>
      </c>
      <c r="D37" s="372">
        <v>5.0999999999999996</v>
      </c>
      <c r="E37" s="333" t="s">
        <v>44</v>
      </c>
      <c r="F37" s="373" t="str">
        <f>Reductions_Table[[#This Row],[ID2]]&amp;"_"&amp;Reductions_Table[[#This Row],[Score]]</f>
        <v>5.1_Low</v>
      </c>
      <c r="G37" s="371">
        <v>0.1</v>
      </c>
      <c r="I37" s="347" t="s">
        <v>171</v>
      </c>
      <c r="J37" s="347" t="s">
        <v>279</v>
      </c>
      <c r="K37" s="347">
        <v>2</v>
      </c>
      <c r="L37" s="347" t="s">
        <v>144</v>
      </c>
      <c r="M37" s="347">
        <v>2.2000000000000002</v>
      </c>
      <c r="N37" s="347" t="s">
        <v>26</v>
      </c>
      <c r="O37" s="348" t="str">
        <f>Fates_Table[[#This Row],[ID2]]&amp;"_"&amp;Fates_Table[[#This Row],[Score]]</f>
        <v>2.2_High</v>
      </c>
      <c r="P37" s="347">
        <v>0.4</v>
      </c>
      <c r="Q37" s="344"/>
      <c r="R37" s="347" t="s">
        <v>284</v>
      </c>
      <c r="S37" s="385" t="s">
        <v>44</v>
      </c>
    </row>
    <row r="38" spans="1:19" ht="15.75" x14ac:dyDescent="0.25">
      <c r="A38" s="370" t="s">
        <v>235</v>
      </c>
      <c r="B38" s="371">
        <v>5</v>
      </c>
      <c r="C38" s="372" t="s">
        <v>75</v>
      </c>
      <c r="D38" s="372">
        <v>5.2</v>
      </c>
      <c r="E38" s="333" t="s">
        <v>26</v>
      </c>
      <c r="F38" s="373" t="str">
        <f>Reductions_Table[[#This Row],[ID2]]&amp;"_"&amp;Reductions_Table[[#This Row],[Score]]</f>
        <v>5.2_High</v>
      </c>
      <c r="G38" s="371">
        <v>1</v>
      </c>
      <c r="I38" s="347" t="s">
        <v>171</v>
      </c>
      <c r="J38" s="347" t="s">
        <v>279</v>
      </c>
      <c r="K38" s="347">
        <v>2</v>
      </c>
      <c r="L38" s="347" t="s">
        <v>144</v>
      </c>
      <c r="M38" s="347">
        <v>2.2000000000000002</v>
      </c>
      <c r="N38" s="347" t="s">
        <v>62</v>
      </c>
      <c r="O38" s="348" t="str">
        <f>Fates_Table[[#This Row],[ID2]]&amp;"_"&amp;Fates_Table[[#This Row],[Score]]</f>
        <v>2.2_Very high</v>
      </c>
      <c r="P38" s="347">
        <v>0.6</v>
      </c>
      <c r="Q38" s="344"/>
      <c r="R38" s="347" t="s">
        <v>284</v>
      </c>
      <c r="S38" s="385" t="s">
        <v>22</v>
      </c>
    </row>
    <row r="39" spans="1:19" ht="15.75" x14ac:dyDescent="0.25">
      <c r="A39" s="370" t="s">
        <v>235</v>
      </c>
      <c r="B39" s="371">
        <v>5</v>
      </c>
      <c r="C39" s="372" t="s">
        <v>75</v>
      </c>
      <c r="D39" s="372">
        <v>5.2</v>
      </c>
      <c r="E39" s="371" t="s">
        <v>22</v>
      </c>
      <c r="F39" s="373" t="str">
        <f>Reductions_Table[[#This Row],[ID2]]&amp;"_"&amp;Reductions_Table[[#This Row],[Score]]</f>
        <v>5.2_Medium</v>
      </c>
      <c r="G39" s="371">
        <v>0.5</v>
      </c>
      <c r="I39" s="347" t="s">
        <v>171</v>
      </c>
      <c r="J39" s="347" t="s">
        <v>279</v>
      </c>
      <c r="K39" s="347">
        <v>2</v>
      </c>
      <c r="L39" s="347" t="s">
        <v>145</v>
      </c>
      <c r="M39" s="347">
        <v>2.2999999999999998</v>
      </c>
      <c r="N39" s="347" t="s">
        <v>94</v>
      </c>
      <c r="O39" s="348" t="str">
        <f>Fates_Table[[#This Row],[ID2]]&amp;"_"&amp;Fates_Table[[#This Row],[Score]]</f>
        <v>2.3_None</v>
      </c>
      <c r="P39" s="347">
        <v>0</v>
      </c>
      <c r="Q39" s="344"/>
      <c r="R39" s="347" t="s">
        <v>284</v>
      </c>
      <c r="S39" s="385" t="s">
        <v>26</v>
      </c>
    </row>
    <row r="40" spans="1:19" ht="15.75" x14ac:dyDescent="0.25">
      <c r="A40" s="370" t="s">
        <v>235</v>
      </c>
      <c r="B40" s="371">
        <v>5</v>
      </c>
      <c r="C40" s="372" t="s">
        <v>75</v>
      </c>
      <c r="D40" s="372">
        <v>5.2</v>
      </c>
      <c r="E40" s="333" t="s">
        <v>44</v>
      </c>
      <c r="F40" s="373" t="str">
        <f>Reductions_Table[[#This Row],[ID2]]&amp;"_"&amp;Reductions_Table[[#This Row],[Score]]</f>
        <v>5.2_Low</v>
      </c>
      <c r="G40" s="371">
        <v>0.1</v>
      </c>
      <c r="I40" s="347" t="s">
        <v>171</v>
      </c>
      <c r="J40" s="347" t="s">
        <v>279</v>
      </c>
      <c r="K40" s="347">
        <v>2</v>
      </c>
      <c r="L40" s="347" t="s">
        <v>145</v>
      </c>
      <c r="M40" s="347">
        <v>2.2999999999999998</v>
      </c>
      <c r="N40" s="347" t="s">
        <v>92</v>
      </c>
      <c r="O40" s="348" t="str">
        <f>Fates_Table[[#This Row],[ID2]]&amp;"_"&amp;Fates_Table[[#This Row],[Score]]</f>
        <v>2.3_Very low</v>
      </c>
      <c r="P40" s="347">
        <v>0.05</v>
      </c>
      <c r="Q40" s="344"/>
      <c r="R40" s="347" t="s">
        <v>284</v>
      </c>
      <c r="S40" s="385" t="s">
        <v>62</v>
      </c>
    </row>
    <row r="41" spans="1:19" ht="15.75" x14ac:dyDescent="0.25">
      <c r="A41" s="370" t="s">
        <v>235</v>
      </c>
      <c r="B41" s="371">
        <v>5</v>
      </c>
      <c r="C41" s="334" t="s">
        <v>76</v>
      </c>
      <c r="D41" s="372">
        <v>5.3</v>
      </c>
      <c r="E41" s="333" t="s">
        <v>62</v>
      </c>
      <c r="F41" s="373" t="str">
        <f>Reductions_Table[[#This Row],[ID2]]&amp;"_"&amp;Reductions_Table[[#This Row],[Score]]</f>
        <v>5.3_Very high</v>
      </c>
      <c r="G41" s="371">
        <v>1</v>
      </c>
      <c r="I41" s="347" t="s">
        <v>171</v>
      </c>
      <c r="J41" s="347" t="s">
        <v>279</v>
      </c>
      <c r="K41" s="347">
        <v>2</v>
      </c>
      <c r="L41" s="347" t="s">
        <v>145</v>
      </c>
      <c r="M41" s="347">
        <v>2.2999999999999998</v>
      </c>
      <c r="N41" s="347" t="s">
        <v>44</v>
      </c>
      <c r="O41" s="348" t="str">
        <f>Fates_Table[[#This Row],[ID2]]&amp;"_"&amp;Fates_Table[[#This Row],[Score]]</f>
        <v>2.3_Low</v>
      </c>
      <c r="P41" s="347">
        <v>0.1</v>
      </c>
      <c r="Q41" s="344"/>
    </row>
    <row r="42" spans="1:19" x14ac:dyDescent="0.2">
      <c r="A42" s="370" t="s">
        <v>235</v>
      </c>
      <c r="B42" s="371">
        <v>5</v>
      </c>
      <c r="C42" s="334" t="s">
        <v>76</v>
      </c>
      <c r="D42" s="372">
        <v>5.3</v>
      </c>
      <c r="E42" s="333" t="s">
        <v>26</v>
      </c>
      <c r="F42" s="373" t="str">
        <f>Reductions_Table[[#This Row],[ID2]]&amp;"_"&amp;Reductions_Table[[#This Row],[Score]]</f>
        <v>5.3_High</v>
      </c>
      <c r="G42" s="371">
        <v>0.5</v>
      </c>
      <c r="I42" s="347" t="s">
        <v>171</v>
      </c>
      <c r="J42" s="347" t="s">
        <v>279</v>
      </c>
      <c r="K42" s="347">
        <v>2</v>
      </c>
      <c r="L42" s="347" t="s">
        <v>145</v>
      </c>
      <c r="M42" s="347">
        <v>2.2999999999999998</v>
      </c>
      <c r="N42" s="347" t="s">
        <v>22</v>
      </c>
      <c r="O42" s="348" t="str">
        <f>Fates_Table[[#This Row],[ID2]]&amp;"_"&amp;Fates_Table[[#This Row],[Score]]</f>
        <v>2.3_Medium</v>
      </c>
      <c r="P42" s="347">
        <v>0.15</v>
      </c>
    </row>
    <row r="43" spans="1:19" x14ac:dyDescent="0.2">
      <c r="A43" s="370" t="s">
        <v>235</v>
      </c>
      <c r="B43" s="371">
        <v>5</v>
      </c>
      <c r="C43" s="334" t="s">
        <v>76</v>
      </c>
      <c r="D43" s="372">
        <v>5.3</v>
      </c>
      <c r="E43" s="333" t="s">
        <v>22</v>
      </c>
      <c r="F43" s="373" t="str">
        <f>Reductions_Table[[#This Row],[ID2]]&amp;"_"&amp;Reductions_Table[[#This Row],[Score]]</f>
        <v>5.3_Medium</v>
      </c>
      <c r="G43" s="371">
        <v>0.1</v>
      </c>
      <c r="I43" s="347" t="s">
        <v>171</v>
      </c>
      <c r="J43" s="347" t="s">
        <v>279</v>
      </c>
      <c r="K43" s="347">
        <v>2</v>
      </c>
      <c r="L43" s="347" t="s">
        <v>145</v>
      </c>
      <c r="M43" s="347">
        <v>2.2999999999999998</v>
      </c>
      <c r="N43" s="347" t="s">
        <v>26</v>
      </c>
      <c r="O43" s="348" t="str">
        <f>Fates_Table[[#This Row],[ID2]]&amp;"_"&amp;Fates_Table[[#This Row],[Score]]</f>
        <v>2.3_High</v>
      </c>
      <c r="P43" s="347">
        <v>0.2</v>
      </c>
    </row>
    <row r="44" spans="1:19" x14ac:dyDescent="0.2">
      <c r="A44" s="370" t="s">
        <v>235</v>
      </c>
      <c r="B44" s="371">
        <v>6</v>
      </c>
      <c r="C44" s="334" t="s">
        <v>76</v>
      </c>
      <c r="D44" s="372">
        <v>5.3</v>
      </c>
      <c r="E44" s="333" t="s">
        <v>44</v>
      </c>
      <c r="F44" s="373" t="str">
        <f>Reductions_Table[[#This Row],[ID2]]&amp;"_"&amp;Reductions_Table[[#This Row],[Score]]</f>
        <v>5.3_Low</v>
      </c>
      <c r="G44" s="371">
        <v>0</v>
      </c>
      <c r="I44" s="347" t="s">
        <v>171</v>
      </c>
      <c r="J44" s="347" t="s">
        <v>279</v>
      </c>
      <c r="K44" s="347">
        <v>2</v>
      </c>
      <c r="L44" s="347" t="s">
        <v>145</v>
      </c>
      <c r="M44" s="347">
        <v>2.2999999999999998</v>
      </c>
      <c r="N44" s="347" t="s">
        <v>62</v>
      </c>
      <c r="O44" s="348" t="str">
        <f>Fates_Table[[#This Row],[ID2]]&amp;"_"&amp;Fates_Table[[#This Row],[Score]]</f>
        <v>2.3_Very high</v>
      </c>
      <c r="P44" s="347">
        <v>0.25</v>
      </c>
    </row>
    <row r="45" spans="1:19" x14ac:dyDescent="0.2">
      <c r="A45" s="333" t="s">
        <v>287</v>
      </c>
      <c r="B45" s="333">
        <v>6</v>
      </c>
      <c r="C45" s="334" t="s">
        <v>77</v>
      </c>
      <c r="D45" s="334">
        <v>6.1</v>
      </c>
      <c r="E45" s="333" t="s">
        <v>288</v>
      </c>
      <c r="F45" s="345" t="str">
        <f>Reductions_Table[[#This Row],[ID2]]&amp;"_"&amp;Reductions_Table[[#This Row],[Score]]</f>
        <v>6.1_Very High</v>
      </c>
      <c r="G45" s="333">
        <v>80</v>
      </c>
      <c r="I45" s="347" t="s">
        <v>286</v>
      </c>
      <c r="J45" s="332" t="s">
        <v>287</v>
      </c>
      <c r="K45" s="347">
        <v>3</v>
      </c>
      <c r="L45" s="347" t="s">
        <v>170</v>
      </c>
      <c r="M45" s="347">
        <v>3.1</v>
      </c>
      <c r="N45" s="347" t="s">
        <v>94</v>
      </c>
      <c r="O45" s="348" t="str">
        <f>Fates_Table[[#This Row],[ID2]]&amp;"_"&amp;Fates_Table[[#This Row],[Score]]</f>
        <v>3.1_None</v>
      </c>
      <c r="P45" s="347">
        <v>0</v>
      </c>
    </row>
    <row r="46" spans="1:19" x14ac:dyDescent="0.2">
      <c r="A46" s="333" t="s">
        <v>287</v>
      </c>
      <c r="B46" s="333">
        <v>6</v>
      </c>
      <c r="C46" s="334" t="s">
        <v>77</v>
      </c>
      <c r="D46" s="334">
        <v>6.1</v>
      </c>
      <c r="E46" s="333" t="s">
        <v>26</v>
      </c>
      <c r="F46" s="345" t="str">
        <f>Reductions_Table[[#This Row],[ID2]]&amp;"_"&amp;Reductions_Table[[#This Row],[Score]]</f>
        <v>6.1_High</v>
      </c>
      <c r="G46" s="333">
        <v>40</v>
      </c>
      <c r="I46" s="347" t="s">
        <v>286</v>
      </c>
      <c r="J46" s="332" t="s">
        <v>287</v>
      </c>
      <c r="K46" s="347">
        <v>3</v>
      </c>
      <c r="L46" s="347" t="s">
        <v>170</v>
      </c>
      <c r="M46" s="347">
        <v>3.1</v>
      </c>
      <c r="N46" s="347" t="s">
        <v>92</v>
      </c>
      <c r="O46" s="348" t="str">
        <f>Fates_Table[[#This Row],[ID2]]&amp;"_"&amp;Fates_Table[[#This Row],[Score]]</f>
        <v>3.1_Very low</v>
      </c>
      <c r="P46" s="347">
        <v>0.2</v>
      </c>
    </row>
    <row r="47" spans="1:19" x14ac:dyDescent="0.2">
      <c r="A47" s="333" t="s">
        <v>287</v>
      </c>
      <c r="B47" s="333">
        <v>6</v>
      </c>
      <c r="C47" s="334" t="s">
        <v>77</v>
      </c>
      <c r="D47" s="334">
        <v>6.1</v>
      </c>
      <c r="E47" s="333" t="s">
        <v>22</v>
      </c>
      <c r="F47" s="345" t="str">
        <f>Reductions_Table[[#This Row],[ID2]]&amp;"_"&amp;Reductions_Table[[#This Row],[Score]]</f>
        <v>6.1_Medium</v>
      </c>
      <c r="G47" s="333">
        <v>10</v>
      </c>
      <c r="I47" s="347" t="s">
        <v>286</v>
      </c>
      <c r="J47" s="332" t="s">
        <v>287</v>
      </c>
      <c r="K47" s="347">
        <v>3</v>
      </c>
      <c r="L47" s="347" t="s">
        <v>170</v>
      </c>
      <c r="M47" s="347">
        <v>3.1</v>
      </c>
      <c r="N47" s="347" t="s">
        <v>44</v>
      </c>
      <c r="O47" s="348" t="str">
        <f>Fates_Table[[#This Row],[ID2]]&amp;"_"&amp;Fates_Table[[#This Row],[Score]]</f>
        <v>3.1_Low</v>
      </c>
      <c r="P47" s="347">
        <v>0.4</v>
      </c>
    </row>
    <row r="48" spans="1:19" x14ac:dyDescent="0.2">
      <c r="A48" s="333" t="s">
        <v>287</v>
      </c>
      <c r="B48" s="333">
        <v>6</v>
      </c>
      <c r="C48" s="334" t="s">
        <v>77</v>
      </c>
      <c r="D48" s="334">
        <v>6.1</v>
      </c>
      <c r="E48" s="333" t="s">
        <v>44</v>
      </c>
      <c r="F48" s="345" t="str">
        <f>Reductions_Table[[#This Row],[ID2]]&amp;"_"&amp;Reductions_Table[[#This Row],[Score]]</f>
        <v>6.1_Low</v>
      </c>
      <c r="G48" s="333">
        <v>2</v>
      </c>
      <c r="I48" s="347" t="s">
        <v>286</v>
      </c>
      <c r="J48" s="332" t="s">
        <v>287</v>
      </c>
      <c r="K48" s="347">
        <v>3</v>
      </c>
      <c r="L48" s="347" t="s">
        <v>170</v>
      </c>
      <c r="M48" s="347">
        <v>3.1</v>
      </c>
      <c r="N48" s="347" t="s">
        <v>22</v>
      </c>
      <c r="O48" s="348" t="str">
        <f>Fates_Table[[#This Row],[ID2]]&amp;"_"&amp;Fates_Table[[#This Row],[Score]]</f>
        <v>3.1_Medium</v>
      </c>
      <c r="P48" s="347">
        <v>0.6</v>
      </c>
    </row>
    <row r="49" spans="1:16" x14ac:dyDescent="0.2">
      <c r="A49" s="333" t="s">
        <v>287</v>
      </c>
      <c r="B49" s="333">
        <v>6</v>
      </c>
      <c r="C49" s="334" t="s">
        <v>77</v>
      </c>
      <c r="D49" s="334">
        <v>6.1</v>
      </c>
      <c r="E49" s="333" t="s">
        <v>94</v>
      </c>
      <c r="F49" s="345" t="str">
        <f>Reductions_Table[[#This Row],[ID2]]&amp;"_"&amp;Reductions_Table[[#This Row],[Score]]</f>
        <v>6.1_None</v>
      </c>
      <c r="G49" s="333">
        <v>0</v>
      </c>
      <c r="I49" s="347" t="s">
        <v>286</v>
      </c>
      <c r="J49" s="332" t="s">
        <v>287</v>
      </c>
      <c r="K49" s="347">
        <v>3</v>
      </c>
      <c r="L49" s="347" t="s">
        <v>170</v>
      </c>
      <c r="M49" s="347">
        <v>3.1</v>
      </c>
      <c r="N49" s="347" t="s">
        <v>26</v>
      </c>
      <c r="O49" s="348" t="str">
        <f>Fates_Table[[#This Row],[ID2]]&amp;"_"&amp;Fates_Table[[#This Row],[Score]]</f>
        <v>3.1_High</v>
      </c>
      <c r="P49" s="347">
        <v>0.8</v>
      </c>
    </row>
    <row r="50" spans="1:16" x14ac:dyDescent="0.2">
      <c r="A50" s="333" t="s">
        <v>287</v>
      </c>
      <c r="B50" s="333">
        <v>6</v>
      </c>
      <c r="C50" s="334" t="s">
        <v>78</v>
      </c>
      <c r="D50" s="334">
        <v>6.2</v>
      </c>
      <c r="E50" s="333" t="s">
        <v>26</v>
      </c>
      <c r="F50" s="345" t="str">
        <f>Reductions_Table[[#This Row],[ID2]]&amp;"_"&amp;Reductions_Table[[#This Row],[Score]]</f>
        <v>6.2_High</v>
      </c>
      <c r="G50" s="333">
        <v>1</v>
      </c>
      <c r="I50" s="347" t="s">
        <v>286</v>
      </c>
      <c r="J50" s="332" t="s">
        <v>287</v>
      </c>
      <c r="K50" s="347">
        <v>3</v>
      </c>
      <c r="L50" s="347" t="s">
        <v>170</v>
      </c>
      <c r="M50" s="347">
        <v>3.1</v>
      </c>
      <c r="N50" s="347" t="s">
        <v>62</v>
      </c>
      <c r="O50" s="348" t="str">
        <f>Fates_Table[[#This Row],[ID2]]&amp;"_"&amp;Fates_Table[[#This Row],[Score]]</f>
        <v>3.1_Very high</v>
      </c>
      <c r="P50" s="347">
        <v>1</v>
      </c>
    </row>
    <row r="51" spans="1:16" x14ac:dyDescent="0.2">
      <c r="A51" s="333" t="s">
        <v>287</v>
      </c>
      <c r="B51" s="333">
        <v>6</v>
      </c>
      <c r="C51" s="334" t="s">
        <v>78</v>
      </c>
      <c r="D51" s="334">
        <v>6.2</v>
      </c>
      <c r="E51" s="333" t="s">
        <v>22</v>
      </c>
      <c r="F51" s="345" t="str">
        <f>Reductions_Table[[#This Row],[ID2]]&amp;"_"&amp;Reductions_Table[[#This Row],[Score]]</f>
        <v>6.2_Medium</v>
      </c>
      <c r="G51" s="333">
        <v>0.5</v>
      </c>
      <c r="I51" s="347" t="s">
        <v>286</v>
      </c>
      <c r="J51" s="332" t="s">
        <v>287</v>
      </c>
      <c r="K51" s="347">
        <v>3</v>
      </c>
      <c r="L51" s="347" t="s">
        <v>144</v>
      </c>
      <c r="M51" s="347">
        <v>3.2</v>
      </c>
      <c r="N51" s="347" t="s">
        <v>94</v>
      </c>
      <c r="O51" s="348" t="str">
        <f>Fates_Table[[#This Row],[ID2]]&amp;"_"&amp;Fates_Table[[#This Row],[Score]]</f>
        <v>3.2_None</v>
      </c>
      <c r="P51" s="347">
        <v>0</v>
      </c>
    </row>
    <row r="52" spans="1:16" x14ac:dyDescent="0.2">
      <c r="A52" s="333" t="s">
        <v>287</v>
      </c>
      <c r="B52" s="333">
        <v>6</v>
      </c>
      <c r="C52" s="334" t="s">
        <v>78</v>
      </c>
      <c r="D52" s="334">
        <v>6.2</v>
      </c>
      <c r="E52" s="333" t="s">
        <v>44</v>
      </c>
      <c r="F52" s="345" t="str">
        <f>Reductions_Table[[#This Row],[ID2]]&amp;"_"&amp;Reductions_Table[[#This Row],[Score]]</f>
        <v>6.2_Low</v>
      </c>
      <c r="G52" s="333">
        <v>0.1</v>
      </c>
      <c r="I52" s="347" t="s">
        <v>286</v>
      </c>
      <c r="J52" s="332" t="s">
        <v>287</v>
      </c>
      <c r="K52" s="347">
        <v>3</v>
      </c>
      <c r="L52" s="347" t="s">
        <v>144</v>
      </c>
      <c r="M52" s="347">
        <v>3.2</v>
      </c>
      <c r="N52" s="347" t="s">
        <v>92</v>
      </c>
      <c r="O52" s="348" t="str">
        <f>Fates_Table[[#This Row],[ID2]]&amp;"_"&amp;Fates_Table[[#This Row],[Score]]</f>
        <v>3.2_Very low</v>
      </c>
      <c r="P52" s="347">
        <v>0.1</v>
      </c>
    </row>
    <row r="53" spans="1:16" x14ac:dyDescent="0.2">
      <c r="A53" s="333" t="s">
        <v>287</v>
      </c>
      <c r="B53" s="333">
        <v>6</v>
      </c>
      <c r="C53" s="334" t="s">
        <v>79</v>
      </c>
      <c r="D53" s="334">
        <v>6.3</v>
      </c>
      <c r="E53" s="333" t="s">
        <v>62</v>
      </c>
      <c r="F53" s="345" t="str">
        <f>Reductions_Table[[#This Row],[ID2]]&amp;"_"&amp;Reductions_Table[[#This Row],[Score]]</f>
        <v>6.3_Very high</v>
      </c>
      <c r="G53" s="333">
        <v>1</v>
      </c>
      <c r="I53" s="347" t="s">
        <v>286</v>
      </c>
      <c r="J53" s="332" t="s">
        <v>287</v>
      </c>
      <c r="K53" s="347">
        <v>3</v>
      </c>
      <c r="L53" s="347" t="s">
        <v>144</v>
      </c>
      <c r="M53" s="347">
        <v>3.2</v>
      </c>
      <c r="N53" s="347" t="s">
        <v>44</v>
      </c>
      <c r="O53" s="348" t="str">
        <f>Fates_Table[[#This Row],[ID2]]&amp;"_"&amp;Fates_Table[[#This Row],[Score]]</f>
        <v>3.2_Low</v>
      </c>
      <c r="P53" s="347">
        <v>0.2</v>
      </c>
    </row>
    <row r="54" spans="1:16" x14ac:dyDescent="0.2">
      <c r="A54" s="333" t="s">
        <v>287</v>
      </c>
      <c r="B54" s="333">
        <v>6</v>
      </c>
      <c r="C54" s="334" t="s">
        <v>79</v>
      </c>
      <c r="D54" s="334">
        <v>6.3</v>
      </c>
      <c r="E54" s="333" t="s">
        <v>26</v>
      </c>
      <c r="F54" s="345" t="str">
        <f>Reductions_Table[[#This Row],[ID2]]&amp;"_"&amp;Reductions_Table[[#This Row],[Score]]</f>
        <v>6.3_High</v>
      </c>
      <c r="G54" s="333">
        <v>0.95</v>
      </c>
      <c r="I54" s="347" t="s">
        <v>286</v>
      </c>
      <c r="J54" s="332" t="s">
        <v>287</v>
      </c>
      <c r="K54" s="347">
        <v>3</v>
      </c>
      <c r="L54" s="347" t="s">
        <v>144</v>
      </c>
      <c r="M54" s="347">
        <v>3.2</v>
      </c>
      <c r="N54" s="347" t="s">
        <v>22</v>
      </c>
      <c r="O54" s="348" t="str">
        <f>Fates_Table[[#This Row],[ID2]]&amp;"_"&amp;Fates_Table[[#This Row],[Score]]</f>
        <v>3.2_Medium</v>
      </c>
      <c r="P54" s="347">
        <v>0.3</v>
      </c>
    </row>
    <row r="55" spans="1:16" x14ac:dyDescent="0.2">
      <c r="A55" s="333" t="s">
        <v>287</v>
      </c>
      <c r="B55" s="333">
        <v>6</v>
      </c>
      <c r="C55" s="334" t="s">
        <v>79</v>
      </c>
      <c r="D55" s="334">
        <v>6.3</v>
      </c>
      <c r="E55" s="333" t="s">
        <v>22</v>
      </c>
      <c r="F55" s="345" t="str">
        <f>Reductions_Table[[#This Row],[ID2]]&amp;"_"&amp;Reductions_Table[[#This Row],[Score]]</f>
        <v>6.3_Medium</v>
      </c>
      <c r="G55" s="333">
        <v>0.75</v>
      </c>
      <c r="I55" s="347" t="s">
        <v>286</v>
      </c>
      <c r="J55" s="332" t="s">
        <v>287</v>
      </c>
      <c r="K55" s="347">
        <v>3</v>
      </c>
      <c r="L55" s="347" t="s">
        <v>144</v>
      </c>
      <c r="M55" s="347">
        <v>3.2</v>
      </c>
      <c r="N55" s="347" t="s">
        <v>26</v>
      </c>
      <c r="O55" s="348" t="str">
        <f>Fates_Table[[#This Row],[ID2]]&amp;"_"&amp;Fates_Table[[#This Row],[Score]]</f>
        <v>3.2_High</v>
      </c>
      <c r="P55" s="347">
        <v>0.4</v>
      </c>
    </row>
    <row r="56" spans="1:16" x14ac:dyDescent="0.2">
      <c r="A56" s="333" t="s">
        <v>287</v>
      </c>
      <c r="B56" s="333">
        <v>6</v>
      </c>
      <c r="C56" s="334" t="s">
        <v>79</v>
      </c>
      <c r="D56" s="334">
        <v>6.3</v>
      </c>
      <c r="E56" s="333" t="s">
        <v>44</v>
      </c>
      <c r="F56" s="345" t="str">
        <f>Reductions_Table[[#This Row],[ID2]]&amp;"_"&amp;Reductions_Table[[#This Row],[Score]]</f>
        <v>6.3_Low</v>
      </c>
      <c r="G56" s="333">
        <v>0.5</v>
      </c>
      <c r="I56" s="347" t="s">
        <v>286</v>
      </c>
      <c r="J56" s="332" t="s">
        <v>287</v>
      </c>
      <c r="K56" s="347">
        <v>3</v>
      </c>
      <c r="L56" s="347" t="s">
        <v>144</v>
      </c>
      <c r="M56" s="347">
        <v>3.2</v>
      </c>
      <c r="N56" s="347" t="s">
        <v>62</v>
      </c>
      <c r="O56" s="348" t="str">
        <f>Fates_Table[[#This Row],[ID2]]&amp;"_"&amp;Fates_Table[[#This Row],[Score]]</f>
        <v>3.2_Very high</v>
      </c>
      <c r="P56" s="347">
        <v>0.6</v>
      </c>
    </row>
    <row r="57" spans="1:16" x14ac:dyDescent="0.2">
      <c r="A57" s="333" t="s">
        <v>287</v>
      </c>
      <c r="B57" s="333">
        <v>7</v>
      </c>
      <c r="C57" s="334" t="s">
        <v>80</v>
      </c>
      <c r="D57" s="334">
        <v>6.4</v>
      </c>
      <c r="E57" s="333" t="s">
        <v>62</v>
      </c>
      <c r="F57" s="345" t="str">
        <f>Reductions_Table[[#This Row],[ID2]]&amp;"_"&amp;Reductions_Table[[#This Row],[Score]]</f>
        <v>6.4_Very high</v>
      </c>
      <c r="G57" s="333">
        <v>1</v>
      </c>
      <c r="I57" s="347" t="s">
        <v>286</v>
      </c>
      <c r="J57" s="332" t="s">
        <v>287</v>
      </c>
      <c r="K57" s="347">
        <v>3</v>
      </c>
      <c r="L57" s="347" t="s">
        <v>145</v>
      </c>
      <c r="M57" s="347">
        <v>3.3</v>
      </c>
      <c r="N57" s="347" t="s">
        <v>94</v>
      </c>
      <c r="O57" s="348" t="str">
        <f>Fates_Table[[#This Row],[ID2]]&amp;"_"&amp;Fates_Table[[#This Row],[Score]]</f>
        <v>3.3_None</v>
      </c>
      <c r="P57" s="347">
        <v>0</v>
      </c>
    </row>
    <row r="58" spans="1:16" x14ac:dyDescent="0.2">
      <c r="A58" s="333" t="s">
        <v>287</v>
      </c>
      <c r="B58" s="333">
        <v>8</v>
      </c>
      <c r="C58" s="334" t="s">
        <v>80</v>
      </c>
      <c r="D58" s="334">
        <v>6.4</v>
      </c>
      <c r="E58" s="333" t="s">
        <v>26</v>
      </c>
      <c r="F58" s="345" t="str">
        <f>Reductions_Table[[#This Row],[ID2]]&amp;"_"&amp;Reductions_Table[[#This Row],[Score]]</f>
        <v>6.4_High</v>
      </c>
      <c r="G58" s="333">
        <v>0.8</v>
      </c>
      <c r="I58" s="347" t="s">
        <v>286</v>
      </c>
      <c r="J58" s="332" t="s">
        <v>287</v>
      </c>
      <c r="K58" s="347">
        <v>3</v>
      </c>
      <c r="L58" s="347" t="s">
        <v>145</v>
      </c>
      <c r="M58" s="347">
        <v>3.3</v>
      </c>
      <c r="N58" s="347" t="s">
        <v>92</v>
      </c>
      <c r="O58" s="348" t="str">
        <f>Fates_Table[[#This Row],[ID2]]&amp;"_"&amp;Fates_Table[[#This Row],[Score]]</f>
        <v>3.3_Very low</v>
      </c>
      <c r="P58" s="347">
        <v>0.05</v>
      </c>
    </row>
    <row r="59" spans="1:16" x14ac:dyDescent="0.2">
      <c r="A59" s="333" t="s">
        <v>287</v>
      </c>
      <c r="B59" s="333">
        <v>9</v>
      </c>
      <c r="C59" s="334" t="s">
        <v>80</v>
      </c>
      <c r="D59" s="334">
        <v>6.4</v>
      </c>
      <c r="E59" s="333" t="s">
        <v>22</v>
      </c>
      <c r="F59" s="345" t="str">
        <f>Reductions_Table[[#This Row],[ID2]]&amp;"_"&amp;Reductions_Table[[#This Row],[Score]]</f>
        <v>6.4_Medium</v>
      </c>
      <c r="G59" s="333">
        <v>0.4</v>
      </c>
      <c r="I59" s="347" t="s">
        <v>286</v>
      </c>
      <c r="J59" s="332" t="s">
        <v>287</v>
      </c>
      <c r="K59" s="347">
        <v>3</v>
      </c>
      <c r="L59" s="347" t="s">
        <v>145</v>
      </c>
      <c r="M59" s="347">
        <v>3.3</v>
      </c>
      <c r="N59" s="347" t="s">
        <v>44</v>
      </c>
      <c r="O59" s="348" t="str">
        <f>Fates_Table[[#This Row],[ID2]]&amp;"_"&amp;Fates_Table[[#This Row],[Score]]</f>
        <v>3.3_Low</v>
      </c>
      <c r="P59" s="347">
        <v>0.1</v>
      </c>
    </row>
    <row r="60" spans="1:16" x14ac:dyDescent="0.2">
      <c r="A60" s="333" t="s">
        <v>287</v>
      </c>
      <c r="B60" s="333">
        <v>10</v>
      </c>
      <c r="C60" s="334" t="s">
        <v>80</v>
      </c>
      <c r="D60" s="334">
        <v>6.4</v>
      </c>
      <c r="E60" s="333" t="s">
        <v>44</v>
      </c>
      <c r="F60" s="345" t="str">
        <f>Reductions_Table[[#This Row],[ID2]]&amp;"_"&amp;Reductions_Table[[#This Row],[Score]]</f>
        <v>6.4_Low</v>
      </c>
      <c r="G60" s="333">
        <v>0.1</v>
      </c>
      <c r="I60" s="347" t="s">
        <v>286</v>
      </c>
      <c r="J60" s="332" t="s">
        <v>287</v>
      </c>
      <c r="K60" s="347">
        <v>3</v>
      </c>
      <c r="L60" s="347" t="s">
        <v>145</v>
      </c>
      <c r="M60" s="347">
        <v>3.3</v>
      </c>
      <c r="N60" s="347" t="s">
        <v>22</v>
      </c>
      <c r="O60" s="348" t="str">
        <f>Fates_Table[[#This Row],[ID2]]&amp;"_"&amp;Fates_Table[[#This Row],[Score]]</f>
        <v>3.3_Medium</v>
      </c>
      <c r="P60" s="347">
        <v>0.3</v>
      </c>
    </row>
    <row r="61" spans="1:16" x14ac:dyDescent="0.2">
      <c r="A61" s="333" t="s">
        <v>287</v>
      </c>
      <c r="B61" s="333">
        <v>6</v>
      </c>
      <c r="C61" s="334" t="s">
        <v>81</v>
      </c>
      <c r="D61" s="334">
        <v>6.5</v>
      </c>
      <c r="E61" s="333" t="s">
        <v>62</v>
      </c>
      <c r="F61" s="345" t="str">
        <f>Reductions_Table[[#This Row],[ID2]]&amp;"_"&amp;Reductions_Table[[#This Row],[Score]]</f>
        <v>6.5_Very high</v>
      </c>
      <c r="G61" s="333">
        <v>1</v>
      </c>
      <c r="I61" s="347" t="s">
        <v>286</v>
      </c>
      <c r="J61" s="332" t="s">
        <v>287</v>
      </c>
      <c r="K61" s="347">
        <v>3</v>
      </c>
      <c r="L61" s="347" t="s">
        <v>145</v>
      </c>
      <c r="M61" s="347">
        <v>3.3</v>
      </c>
      <c r="N61" s="347" t="s">
        <v>26</v>
      </c>
      <c r="O61" s="348" t="str">
        <f>Fates_Table[[#This Row],[ID2]]&amp;"_"&amp;Fates_Table[[#This Row],[Score]]</f>
        <v>3.3_High</v>
      </c>
      <c r="P61" s="347">
        <v>0.5</v>
      </c>
    </row>
    <row r="62" spans="1:16" x14ac:dyDescent="0.2">
      <c r="A62" s="333" t="s">
        <v>287</v>
      </c>
      <c r="B62" s="333">
        <v>6</v>
      </c>
      <c r="C62" s="334" t="s">
        <v>81</v>
      </c>
      <c r="D62" s="334">
        <v>6.5</v>
      </c>
      <c r="E62" s="333" t="s">
        <v>26</v>
      </c>
      <c r="F62" s="345" t="str">
        <f>Reductions_Table[[#This Row],[ID2]]&amp;"_"&amp;Reductions_Table[[#This Row],[Score]]</f>
        <v>6.5_High</v>
      </c>
      <c r="G62" s="333">
        <v>0.9</v>
      </c>
      <c r="I62" s="347" t="s">
        <v>286</v>
      </c>
      <c r="J62" s="332" t="s">
        <v>287</v>
      </c>
      <c r="K62" s="347">
        <v>3</v>
      </c>
      <c r="L62" s="347" t="s">
        <v>145</v>
      </c>
      <c r="M62" s="347">
        <v>3.3</v>
      </c>
      <c r="N62" s="347" t="s">
        <v>62</v>
      </c>
      <c r="O62" s="348" t="str">
        <f>Fates_Table[[#This Row],[ID2]]&amp;"_"&amp;Fates_Table[[#This Row],[Score]]</f>
        <v>3.3_Very high</v>
      </c>
      <c r="P62" s="347">
        <v>0.8</v>
      </c>
    </row>
    <row r="63" spans="1:16" x14ac:dyDescent="0.2">
      <c r="A63" s="333" t="s">
        <v>287</v>
      </c>
      <c r="B63" s="333">
        <v>6</v>
      </c>
      <c r="C63" s="334" t="s">
        <v>81</v>
      </c>
      <c r="D63" s="334">
        <v>6.5</v>
      </c>
      <c r="E63" s="333" t="s">
        <v>22</v>
      </c>
      <c r="F63" s="345" t="str">
        <f>Reductions_Table[[#This Row],[ID2]]&amp;"_"&amp;Reductions_Table[[#This Row],[Score]]</f>
        <v>6.5_Medium</v>
      </c>
      <c r="G63" s="333">
        <v>0.7</v>
      </c>
      <c r="I63" s="347" t="s">
        <v>289</v>
      </c>
      <c r="J63" s="347" t="s">
        <v>290</v>
      </c>
      <c r="K63" s="347">
        <v>4</v>
      </c>
      <c r="L63" s="347" t="s">
        <v>169</v>
      </c>
      <c r="M63" s="347">
        <v>4.0999999999999996</v>
      </c>
      <c r="N63" s="347" t="s">
        <v>94</v>
      </c>
      <c r="O63" s="348" t="str">
        <f>Fates_Table[[#This Row],[ID2]]&amp;"_"&amp;Fates_Table[[#This Row],[Score]]</f>
        <v>4.1_None</v>
      </c>
      <c r="P63" s="332">
        <v>0</v>
      </c>
    </row>
    <row r="64" spans="1:16" x14ac:dyDescent="0.2">
      <c r="A64" s="333" t="s">
        <v>287</v>
      </c>
      <c r="B64" s="333">
        <v>6</v>
      </c>
      <c r="C64" s="334" t="s">
        <v>81</v>
      </c>
      <c r="D64" s="334">
        <v>6.5</v>
      </c>
      <c r="E64" s="333" t="s">
        <v>44</v>
      </c>
      <c r="F64" s="345" t="str">
        <f>Reductions_Table[[#This Row],[ID2]]&amp;"_"&amp;Reductions_Table[[#This Row],[Score]]</f>
        <v>6.5_Low</v>
      </c>
      <c r="G64" s="333">
        <v>0.5</v>
      </c>
      <c r="I64" s="347" t="s">
        <v>289</v>
      </c>
      <c r="J64" s="347" t="s">
        <v>290</v>
      </c>
      <c r="K64" s="347">
        <v>4</v>
      </c>
      <c r="L64" s="347" t="s">
        <v>169</v>
      </c>
      <c r="M64" s="347">
        <v>4.0999999999999996</v>
      </c>
      <c r="N64" s="347" t="s">
        <v>92</v>
      </c>
      <c r="O64" s="348" t="str">
        <f>Fates_Table[[#This Row],[ID2]]&amp;"_"&amp;Fates_Table[[#This Row],[Score]]</f>
        <v>4.1_Very low</v>
      </c>
      <c r="P64" s="347">
        <v>0.05</v>
      </c>
    </row>
    <row r="65" spans="1:16" x14ac:dyDescent="0.2">
      <c r="A65" s="333" t="s">
        <v>287</v>
      </c>
      <c r="B65" s="333">
        <v>6</v>
      </c>
      <c r="C65" s="334" t="s">
        <v>82</v>
      </c>
      <c r="D65" s="334">
        <v>6.6</v>
      </c>
      <c r="E65" s="333" t="s">
        <v>62</v>
      </c>
      <c r="F65" s="345" t="str">
        <f>Reductions_Table[[#This Row],[ID2]]&amp;"_"&amp;Reductions_Table[[#This Row],[Score]]</f>
        <v>6.6_Very high</v>
      </c>
      <c r="G65" s="333">
        <v>1</v>
      </c>
      <c r="I65" s="347" t="s">
        <v>289</v>
      </c>
      <c r="J65" s="347" t="s">
        <v>290</v>
      </c>
      <c r="K65" s="347">
        <v>4</v>
      </c>
      <c r="L65" s="347" t="s">
        <v>169</v>
      </c>
      <c r="M65" s="347">
        <v>4.0999999999999996</v>
      </c>
      <c r="N65" s="347" t="s">
        <v>44</v>
      </c>
      <c r="O65" s="348" t="str">
        <f>Fates_Table[[#This Row],[ID2]]&amp;"_"&amp;Fates_Table[[#This Row],[Score]]</f>
        <v>4.1_Low</v>
      </c>
      <c r="P65" s="332">
        <v>0.1</v>
      </c>
    </row>
    <row r="66" spans="1:16" x14ac:dyDescent="0.2">
      <c r="A66" s="333" t="s">
        <v>287</v>
      </c>
      <c r="B66" s="333">
        <v>6</v>
      </c>
      <c r="C66" s="334" t="s">
        <v>82</v>
      </c>
      <c r="D66" s="334">
        <v>6.6</v>
      </c>
      <c r="E66" s="333" t="s">
        <v>26</v>
      </c>
      <c r="F66" s="345" t="str">
        <f>Reductions_Table[[#This Row],[ID2]]&amp;"_"&amp;Reductions_Table[[#This Row],[Score]]</f>
        <v>6.6_High</v>
      </c>
      <c r="G66" s="333">
        <v>0.8</v>
      </c>
      <c r="I66" s="347" t="s">
        <v>289</v>
      </c>
      <c r="J66" s="347" t="s">
        <v>290</v>
      </c>
      <c r="K66" s="347">
        <v>4</v>
      </c>
      <c r="L66" s="347" t="s">
        <v>169</v>
      </c>
      <c r="M66" s="347">
        <v>4.0999999999999996</v>
      </c>
      <c r="N66" s="347" t="s">
        <v>22</v>
      </c>
      <c r="O66" s="348" t="str">
        <f>Fates_Table[[#This Row],[ID2]]&amp;"_"&amp;Fates_Table[[#This Row],[Score]]</f>
        <v>4.1_Medium</v>
      </c>
      <c r="P66" s="332">
        <v>0.25</v>
      </c>
    </row>
    <row r="67" spans="1:16" x14ac:dyDescent="0.2">
      <c r="A67" s="333" t="s">
        <v>287</v>
      </c>
      <c r="B67" s="333">
        <v>6</v>
      </c>
      <c r="C67" s="334" t="s">
        <v>82</v>
      </c>
      <c r="D67" s="334">
        <v>6.6</v>
      </c>
      <c r="E67" s="333" t="s">
        <v>22</v>
      </c>
      <c r="F67" s="345" t="str">
        <f>Reductions_Table[[#This Row],[ID2]]&amp;"_"&amp;Reductions_Table[[#This Row],[Score]]</f>
        <v>6.6_Medium</v>
      </c>
      <c r="G67" s="333">
        <v>0.5</v>
      </c>
      <c r="I67" s="347" t="s">
        <v>289</v>
      </c>
      <c r="J67" s="347" t="s">
        <v>290</v>
      </c>
      <c r="K67" s="347">
        <v>4</v>
      </c>
      <c r="L67" s="347" t="s">
        <v>169</v>
      </c>
      <c r="M67" s="347">
        <v>4.0999999999999996</v>
      </c>
      <c r="N67" s="347" t="s">
        <v>26</v>
      </c>
      <c r="O67" s="348" t="str">
        <f>Fates_Table[[#This Row],[ID2]]&amp;"_"&amp;Fates_Table[[#This Row],[Score]]</f>
        <v>4.1_High</v>
      </c>
      <c r="P67" s="332">
        <v>0.4</v>
      </c>
    </row>
    <row r="68" spans="1:16" x14ac:dyDescent="0.2">
      <c r="A68" s="333" t="s">
        <v>287</v>
      </c>
      <c r="B68" s="333">
        <v>6</v>
      </c>
      <c r="C68" s="334" t="s">
        <v>82</v>
      </c>
      <c r="D68" s="334">
        <v>6.6</v>
      </c>
      <c r="E68" s="333" t="s">
        <v>44</v>
      </c>
      <c r="F68" s="345" t="str">
        <f>Reductions_Table[[#This Row],[ID2]]&amp;"_"&amp;Reductions_Table[[#This Row],[Score]]</f>
        <v>6.6_Low</v>
      </c>
      <c r="G68" s="333">
        <v>0.3</v>
      </c>
      <c r="I68" s="347" t="s">
        <v>289</v>
      </c>
      <c r="J68" s="347" t="s">
        <v>290</v>
      </c>
      <c r="K68" s="347">
        <v>4</v>
      </c>
      <c r="L68" s="347" t="s">
        <v>169</v>
      </c>
      <c r="M68" s="347">
        <v>4.0999999999999996</v>
      </c>
      <c r="N68" s="347" t="s">
        <v>62</v>
      </c>
      <c r="O68" s="348" t="str">
        <f>Fates_Table[[#This Row],[ID2]]&amp;"_"&amp;Fates_Table[[#This Row],[Score]]</f>
        <v>4.1_Very high</v>
      </c>
      <c r="P68" s="347">
        <v>0.6</v>
      </c>
    </row>
    <row r="69" spans="1:16" x14ac:dyDescent="0.2">
      <c r="A69" s="333" t="s">
        <v>144</v>
      </c>
      <c r="B69" s="333">
        <v>7</v>
      </c>
      <c r="C69" s="334" t="s">
        <v>291</v>
      </c>
      <c r="D69" s="334">
        <v>7.1</v>
      </c>
      <c r="E69" s="333" t="s">
        <v>62</v>
      </c>
      <c r="F69" s="345" t="str">
        <f>Reductions_Table[[#This Row],[ID2]]&amp;"_"&amp;Reductions_Table[[#This Row],[Score]]</f>
        <v>7.1_Very high</v>
      </c>
      <c r="G69" s="333">
        <v>20</v>
      </c>
      <c r="I69" s="347" t="s">
        <v>289</v>
      </c>
      <c r="J69" s="347" t="s">
        <v>290</v>
      </c>
      <c r="K69" s="347">
        <v>4</v>
      </c>
      <c r="L69" s="347" t="s">
        <v>170</v>
      </c>
      <c r="M69" s="347">
        <v>4.2</v>
      </c>
      <c r="N69" s="347" t="s">
        <v>94</v>
      </c>
      <c r="O69" s="348" t="str">
        <f>Fates_Table[[#This Row],[ID2]]&amp;"_"&amp;Fates_Table[[#This Row],[Score]]</f>
        <v>4.2_None</v>
      </c>
      <c r="P69" s="347">
        <v>0</v>
      </c>
    </row>
    <row r="70" spans="1:16" x14ac:dyDescent="0.2">
      <c r="A70" s="333" t="s">
        <v>144</v>
      </c>
      <c r="B70" s="333">
        <v>7</v>
      </c>
      <c r="C70" s="334" t="s">
        <v>291</v>
      </c>
      <c r="D70" s="334">
        <v>7.1</v>
      </c>
      <c r="E70" s="333" t="s">
        <v>26</v>
      </c>
      <c r="F70" s="345" t="str">
        <f>Reductions_Table[[#This Row],[ID2]]&amp;"_"&amp;Reductions_Table[[#This Row],[Score]]</f>
        <v>7.1_High</v>
      </c>
      <c r="G70" s="333">
        <v>40</v>
      </c>
      <c r="I70" s="347" t="s">
        <v>289</v>
      </c>
      <c r="J70" s="347" t="s">
        <v>290</v>
      </c>
      <c r="K70" s="347">
        <v>4</v>
      </c>
      <c r="L70" s="347" t="s">
        <v>170</v>
      </c>
      <c r="M70" s="347">
        <v>4.2</v>
      </c>
      <c r="N70" s="347" t="s">
        <v>92</v>
      </c>
      <c r="O70" s="348" t="str">
        <f>Fates_Table[[#This Row],[ID2]]&amp;"_"&amp;Fates_Table[[#This Row],[Score]]</f>
        <v>4.2_Very low</v>
      </c>
      <c r="P70" s="347">
        <v>0.1</v>
      </c>
    </row>
    <row r="71" spans="1:16" x14ac:dyDescent="0.2">
      <c r="A71" s="333" t="s">
        <v>144</v>
      </c>
      <c r="B71" s="333">
        <v>7</v>
      </c>
      <c r="C71" s="334" t="s">
        <v>291</v>
      </c>
      <c r="D71" s="334">
        <v>7.1</v>
      </c>
      <c r="E71" s="333" t="s">
        <v>22</v>
      </c>
      <c r="F71" s="345" t="str">
        <f>Reductions_Table[[#This Row],[ID2]]&amp;"_"&amp;Reductions_Table[[#This Row],[Score]]</f>
        <v>7.1_Medium</v>
      </c>
      <c r="G71" s="333">
        <v>60</v>
      </c>
      <c r="I71" s="347" t="s">
        <v>289</v>
      </c>
      <c r="J71" s="347" t="s">
        <v>290</v>
      </c>
      <c r="K71" s="347">
        <v>4</v>
      </c>
      <c r="L71" s="347" t="s">
        <v>170</v>
      </c>
      <c r="M71" s="347">
        <v>4.2</v>
      </c>
      <c r="N71" s="347" t="s">
        <v>44</v>
      </c>
      <c r="O71" s="348" t="str">
        <f>Fates_Table[[#This Row],[ID2]]&amp;"_"&amp;Fates_Table[[#This Row],[Score]]</f>
        <v>4.2_Low</v>
      </c>
      <c r="P71" s="347">
        <v>0.2</v>
      </c>
    </row>
    <row r="72" spans="1:16" x14ac:dyDescent="0.2">
      <c r="A72" s="333" t="s">
        <v>144</v>
      </c>
      <c r="B72" s="333">
        <v>7</v>
      </c>
      <c r="C72" s="334" t="s">
        <v>291</v>
      </c>
      <c r="D72" s="334">
        <v>7.1</v>
      </c>
      <c r="E72" s="333" t="s">
        <v>44</v>
      </c>
      <c r="F72" s="345" t="str">
        <f>Reductions_Table[[#This Row],[ID2]]&amp;"_"&amp;Reductions_Table[[#This Row],[Score]]</f>
        <v>7.1_Low</v>
      </c>
      <c r="G72" s="333">
        <v>80</v>
      </c>
      <c r="I72" s="347" t="s">
        <v>289</v>
      </c>
      <c r="J72" s="347" t="s">
        <v>290</v>
      </c>
      <c r="K72" s="347">
        <v>4</v>
      </c>
      <c r="L72" s="347" t="s">
        <v>170</v>
      </c>
      <c r="M72" s="347">
        <v>4.2</v>
      </c>
      <c r="N72" s="347" t="s">
        <v>22</v>
      </c>
      <c r="O72" s="348" t="str">
        <f>Fates_Table[[#This Row],[ID2]]&amp;"_"&amp;Fates_Table[[#This Row],[Score]]</f>
        <v>4.2_Medium</v>
      </c>
      <c r="P72" s="347">
        <v>0.4</v>
      </c>
    </row>
    <row r="73" spans="1:16" x14ac:dyDescent="0.2">
      <c r="A73" s="333" t="s">
        <v>144</v>
      </c>
      <c r="B73" s="333">
        <v>7</v>
      </c>
      <c r="C73" s="334" t="s">
        <v>291</v>
      </c>
      <c r="D73" s="334">
        <v>7.1</v>
      </c>
      <c r="E73" s="333" t="s">
        <v>92</v>
      </c>
      <c r="F73" s="345" t="str">
        <f>Reductions_Table[[#This Row],[ID2]]&amp;"_"&amp;Reductions_Table[[#This Row],[Score]]</f>
        <v>7.1_Very low</v>
      </c>
      <c r="G73" s="333">
        <v>100</v>
      </c>
      <c r="I73" s="347" t="s">
        <v>289</v>
      </c>
      <c r="J73" s="347" t="s">
        <v>290</v>
      </c>
      <c r="K73" s="347">
        <v>4</v>
      </c>
      <c r="L73" s="347" t="s">
        <v>170</v>
      </c>
      <c r="M73" s="347">
        <v>4.2</v>
      </c>
      <c r="N73" s="347" t="s">
        <v>26</v>
      </c>
      <c r="O73" s="348" t="str">
        <f>Fates_Table[[#This Row],[ID2]]&amp;"_"&amp;Fates_Table[[#This Row],[Score]]</f>
        <v>4.2_High</v>
      </c>
      <c r="P73" s="347">
        <v>0.65</v>
      </c>
    </row>
    <row r="74" spans="1:16" x14ac:dyDescent="0.2">
      <c r="A74" s="333" t="s">
        <v>144</v>
      </c>
      <c r="B74" s="333">
        <v>7</v>
      </c>
      <c r="C74" s="334" t="s">
        <v>292</v>
      </c>
      <c r="D74" s="334">
        <v>7.2</v>
      </c>
      <c r="E74" s="333" t="s">
        <v>62</v>
      </c>
      <c r="F74" s="345" t="str">
        <f>Reductions_Table[[#This Row],[ID2]]&amp;"_"&amp;Reductions_Table[[#This Row],[Score]]</f>
        <v>7.2_Very high</v>
      </c>
      <c r="G74" s="333">
        <v>0</v>
      </c>
      <c r="I74" s="347" t="s">
        <v>289</v>
      </c>
      <c r="J74" s="347" t="s">
        <v>290</v>
      </c>
      <c r="K74" s="347">
        <v>4</v>
      </c>
      <c r="L74" s="347" t="s">
        <v>170</v>
      </c>
      <c r="M74" s="347">
        <v>4.2</v>
      </c>
      <c r="N74" s="347" t="s">
        <v>62</v>
      </c>
      <c r="O74" s="348" t="str">
        <f>Fates_Table[[#This Row],[ID2]]&amp;"_"&amp;Fates_Table[[#This Row],[Score]]</f>
        <v>4.2_Very high</v>
      </c>
      <c r="P74" s="347">
        <v>0.9</v>
      </c>
    </row>
    <row r="75" spans="1:16" x14ac:dyDescent="0.2">
      <c r="A75" s="333" t="s">
        <v>144</v>
      </c>
      <c r="B75" s="333">
        <v>7</v>
      </c>
      <c r="C75" s="334" t="s">
        <v>292</v>
      </c>
      <c r="D75" s="334">
        <v>7.2</v>
      </c>
      <c r="E75" s="333" t="s">
        <v>26</v>
      </c>
      <c r="F75" s="345" t="str">
        <f>Reductions_Table[[#This Row],[ID2]]&amp;"_"&amp;Reductions_Table[[#This Row],[Score]]</f>
        <v>7.2_High</v>
      </c>
      <c r="G75" s="333">
        <v>0.1</v>
      </c>
      <c r="I75" s="347" t="s">
        <v>289</v>
      </c>
      <c r="J75" s="347" t="s">
        <v>290</v>
      </c>
      <c r="K75" s="347">
        <v>4</v>
      </c>
      <c r="L75" s="347" t="s">
        <v>144</v>
      </c>
      <c r="M75" s="347">
        <v>4.3</v>
      </c>
      <c r="N75" s="347" t="s">
        <v>94</v>
      </c>
      <c r="O75" s="348" t="str">
        <f>Fates_Table[[#This Row],[ID2]]&amp;"_"&amp;Fates_Table[[#This Row],[Score]]</f>
        <v>4.3_None</v>
      </c>
      <c r="P75" s="347">
        <v>0</v>
      </c>
    </row>
    <row r="76" spans="1:16" x14ac:dyDescent="0.2">
      <c r="A76" s="333" t="s">
        <v>144</v>
      </c>
      <c r="B76" s="333">
        <v>7</v>
      </c>
      <c r="C76" s="334" t="s">
        <v>292</v>
      </c>
      <c r="D76" s="334">
        <v>7.2</v>
      </c>
      <c r="E76" s="333" t="s">
        <v>22</v>
      </c>
      <c r="F76" s="345" t="str">
        <f>Reductions_Table[[#This Row],[ID2]]&amp;"_"&amp;Reductions_Table[[#This Row],[Score]]</f>
        <v>7.2_Medium</v>
      </c>
      <c r="G76" s="333">
        <v>0.3</v>
      </c>
      <c r="I76" s="347" t="s">
        <v>289</v>
      </c>
      <c r="J76" s="347" t="s">
        <v>290</v>
      </c>
      <c r="K76" s="347">
        <v>4</v>
      </c>
      <c r="L76" s="347" t="s">
        <v>144</v>
      </c>
      <c r="M76" s="347">
        <v>4.3</v>
      </c>
      <c r="N76" s="347" t="s">
        <v>92</v>
      </c>
      <c r="O76" s="348" t="str">
        <f>Fates_Table[[#This Row],[ID2]]&amp;"_"&amp;Fates_Table[[#This Row],[Score]]</f>
        <v>4.3_Very low</v>
      </c>
      <c r="P76" s="347">
        <v>0.05</v>
      </c>
    </row>
    <row r="77" spans="1:16" x14ac:dyDescent="0.2">
      <c r="A77" s="333" t="s">
        <v>144</v>
      </c>
      <c r="B77" s="333">
        <v>7</v>
      </c>
      <c r="C77" s="334" t="s">
        <v>292</v>
      </c>
      <c r="D77" s="334">
        <v>7.2</v>
      </c>
      <c r="E77" s="333" t="s">
        <v>44</v>
      </c>
      <c r="F77" s="345" t="str">
        <f>Reductions_Table[[#This Row],[ID2]]&amp;"_"&amp;Reductions_Table[[#This Row],[Score]]</f>
        <v>7.2_Low</v>
      </c>
      <c r="G77" s="333">
        <v>0.5</v>
      </c>
      <c r="I77" s="347" t="s">
        <v>289</v>
      </c>
      <c r="J77" s="347" t="s">
        <v>290</v>
      </c>
      <c r="K77" s="347">
        <v>4</v>
      </c>
      <c r="L77" s="347" t="s">
        <v>144</v>
      </c>
      <c r="M77" s="347">
        <v>4.3</v>
      </c>
      <c r="N77" s="347" t="s">
        <v>44</v>
      </c>
      <c r="O77" s="348" t="str">
        <f>Fates_Table[[#This Row],[ID2]]&amp;"_"&amp;Fates_Table[[#This Row],[Score]]</f>
        <v>4.3_Low</v>
      </c>
      <c r="P77" s="347">
        <v>0.1</v>
      </c>
    </row>
    <row r="78" spans="1:16" x14ac:dyDescent="0.2">
      <c r="A78" s="333" t="s">
        <v>144</v>
      </c>
      <c r="B78" s="333">
        <v>7</v>
      </c>
      <c r="C78" s="334" t="s">
        <v>292</v>
      </c>
      <c r="D78" s="334">
        <v>7.2</v>
      </c>
      <c r="E78" s="333" t="s">
        <v>92</v>
      </c>
      <c r="F78" s="345" t="str">
        <f>Reductions_Table[[#This Row],[ID2]]&amp;"_"&amp;Reductions_Table[[#This Row],[Score]]</f>
        <v>7.2_Very low</v>
      </c>
      <c r="G78" s="333">
        <v>0.8</v>
      </c>
      <c r="I78" s="347" t="s">
        <v>289</v>
      </c>
      <c r="J78" s="347" t="s">
        <v>290</v>
      </c>
      <c r="K78" s="347">
        <v>4</v>
      </c>
      <c r="L78" s="347" t="s">
        <v>144</v>
      </c>
      <c r="M78" s="347">
        <v>4.3</v>
      </c>
      <c r="N78" s="347" t="s">
        <v>22</v>
      </c>
      <c r="O78" s="348" t="str">
        <f>Fates_Table[[#This Row],[ID2]]&amp;"_"&amp;Fates_Table[[#This Row],[Score]]</f>
        <v>4.3_Medium</v>
      </c>
      <c r="P78" s="347">
        <v>0.2</v>
      </c>
    </row>
    <row r="79" spans="1:16" x14ac:dyDescent="0.2">
      <c r="A79" s="370"/>
      <c r="B79" s="371"/>
      <c r="C79" s="372"/>
      <c r="D79" s="372"/>
      <c r="E79" s="371"/>
      <c r="F79" s="373"/>
      <c r="G79" s="371"/>
      <c r="I79" s="347" t="s">
        <v>289</v>
      </c>
      <c r="J79" s="347" t="s">
        <v>290</v>
      </c>
      <c r="K79" s="347">
        <v>4</v>
      </c>
      <c r="L79" s="347" t="s">
        <v>144</v>
      </c>
      <c r="M79" s="347">
        <v>4.3</v>
      </c>
      <c r="N79" s="347" t="s">
        <v>26</v>
      </c>
      <c r="O79" s="348" t="str">
        <f>Fates_Table[[#This Row],[ID2]]&amp;"_"&amp;Fates_Table[[#This Row],[Score]]</f>
        <v>4.3_High</v>
      </c>
      <c r="P79" s="347">
        <v>0.4</v>
      </c>
    </row>
    <row r="80" spans="1:16" x14ac:dyDescent="0.2">
      <c r="A80" s="370"/>
      <c r="B80" s="371"/>
      <c r="C80" s="372"/>
      <c r="D80" s="372"/>
      <c r="E80" s="371"/>
      <c r="F80" s="373"/>
      <c r="G80" s="371"/>
      <c r="I80" s="347" t="s">
        <v>289</v>
      </c>
      <c r="J80" s="347" t="s">
        <v>290</v>
      </c>
      <c r="K80" s="347">
        <v>4</v>
      </c>
      <c r="L80" s="347" t="s">
        <v>144</v>
      </c>
      <c r="M80" s="347">
        <v>4.3</v>
      </c>
      <c r="N80" s="347" t="s">
        <v>62</v>
      </c>
      <c r="O80" s="348" t="str">
        <f>Fates_Table[[#This Row],[ID2]]&amp;"_"&amp;Fates_Table[[#This Row],[Score]]</f>
        <v>4.3_Very high</v>
      </c>
      <c r="P80" s="347">
        <v>0.6</v>
      </c>
    </row>
    <row r="81" spans="1:16" x14ac:dyDescent="0.2">
      <c r="A81" s="370"/>
      <c r="B81" s="371"/>
      <c r="C81" s="372"/>
      <c r="D81" s="372"/>
      <c r="E81" s="371"/>
      <c r="F81" s="373"/>
      <c r="G81" s="371"/>
      <c r="I81" s="347" t="s">
        <v>289</v>
      </c>
      <c r="J81" s="347" t="s">
        <v>290</v>
      </c>
      <c r="K81" s="347">
        <v>4</v>
      </c>
      <c r="L81" s="347" t="s">
        <v>145</v>
      </c>
      <c r="M81" s="347">
        <v>4.4000000000000004</v>
      </c>
      <c r="N81" s="347" t="s">
        <v>94</v>
      </c>
      <c r="O81" s="348" t="str">
        <f>Fates_Table[[#This Row],[ID2]]&amp;"_"&amp;Fates_Table[[#This Row],[Score]]</f>
        <v>4.4_None</v>
      </c>
      <c r="P81" s="347">
        <v>0</v>
      </c>
    </row>
    <row r="82" spans="1:16" x14ac:dyDescent="0.2">
      <c r="A82" s="370"/>
      <c r="B82" s="371"/>
      <c r="C82" s="372"/>
      <c r="D82" s="372"/>
      <c r="E82" s="371"/>
      <c r="F82" s="373"/>
      <c r="G82" s="371"/>
      <c r="I82" s="347" t="s">
        <v>289</v>
      </c>
      <c r="J82" s="347" t="s">
        <v>290</v>
      </c>
      <c r="K82" s="347">
        <v>4</v>
      </c>
      <c r="L82" s="347" t="s">
        <v>145</v>
      </c>
      <c r="M82" s="347">
        <v>4.4000000000000004</v>
      </c>
      <c r="N82" s="347" t="s">
        <v>92</v>
      </c>
      <c r="O82" s="348" t="str">
        <f>Fates_Table[[#This Row],[ID2]]&amp;"_"&amp;Fates_Table[[#This Row],[Score]]</f>
        <v>4.4_Very low</v>
      </c>
      <c r="P82" s="347">
        <v>0.05</v>
      </c>
    </row>
    <row r="83" spans="1:16" x14ac:dyDescent="0.2">
      <c r="A83" s="370"/>
      <c r="B83" s="371"/>
      <c r="C83" s="334"/>
      <c r="D83" s="372"/>
      <c r="E83" s="333"/>
      <c r="F83" s="373"/>
      <c r="G83" s="371"/>
      <c r="I83" s="347" t="s">
        <v>289</v>
      </c>
      <c r="J83" s="347" t="s">
        <v>290</v>
      </c>
      <c r="K83" s="347">
        <v>4</v>
      </c>
      <c r="L83" s="347" t="s">
        <v>145</v>
      </c>
      <c r="M83" s="347">
        <v>4.4000000000000004</v>
      </c>
      <c r="N83" s="347" t="s">
        <v>44</v>
      </c>
      <c r="O83" s="348" t="str">
        <f>Fates_Table[[#This Row],[ID2]]&amp;"_"&amp;Fates_Table[[#This Row],[Score]]</f>
        <v>4.4_Low</v>
      </c>
      <c r="P83" s="347">
        <v>0.1</v>
      </c>
    </row>
    <row r="84" spans="1:16" x14ac:dyDescent="0.2">
      <c r="A84" s="370"/>
      <c r="B84" s="371"/>
      <c r="C84" s="334"/>
      <c r="D84" s="372"/>
      <c r="E84" s="333"/>
      <c r="F84" s="373"/>
      <c r="G84" s="371"/>
      <c r="I84" s="347" t="s">
        <v>289</v>
      </c>
      <c r="J84" s="347" t="s">
        <v>290</v>
      </c>
      <c r="K84" s="347">
        <v>4</v>
      </c>
      <c r="L84" s="347" t="s">
        <v>145</v>
      </c>
      <c r="M84" s="347">
        <v>4.4000000000000004</v>
      </c>
      <c r="N84" s="347" t="s">
        <v>22</v>
      </c>
      <c r="O84" s="348" t="str">
        <f>Fates_Table[[#This Row],[ID2]]&amp;"_"&amp;Fates_Table[[#This Row],[Score]]</f>
        <v>4.4_Medium</v>
      </c>
      <c r="P84" s="347">
        <v>0.2</v>
      </c>
    </row>
    <row r="85" spans="1:16" x14ac:dyDescent="0.2">
      <c r="A85" s="370"/>
      <c r="B85" s="371"/>
      <c r="C85" s="334"/>
      <c r="D85" s="372"/>
      <c r="E85" s="371"/>
      <c r="F85" s="373"/>
      <c r="G85" s="371"/>
      <c r="I85" s="347" t="s">
        <v>289</v>
      </c>
      <c r="J85" s="347" t="s">
        <v>290</v>
      </c>
      <c r="K85" s="347">
        <v>4</v>
      </c>
      <c r="L85" s="347" t="s">
        <v>145</v>
      </c>
      <c r="M85" s="347">
        <v>4.4000000000000004</v>
      </c>
      <c r="N85" s="347" t="s">
        <v>26</v>
      </c>
      <c r="O85" s="348" t="str">
        <f>Fates_Table[[#This Row],[ID2]]&amp;"_"&amp;Fates_Table[[#This Row],[Score]]</f>
        <v>4.4_High</v>
      </c>
      <c r="P85" s="347">
        <v>0.4</v>
      </c>
    </row>
    <row r="86" spans="1:16" x14ac:dyDescent="0.2">
      <c r="A86" s="370"/>
      <c r="B86" s="371"/>
      <c r="C86" s="334"/>
      <c r="D86" s="372"/>
      <c r="E86" s="333"/>
      <c r="F86" s="373"/>
      <c r="G86" s="371"/>
      <c r="I86" s="347" t="s">
        <v>289</v>
      </c>
      <c r="J86" s="347" t="s">
        <v>290</v>
      </c>
      <c r="K86" s="347">
        <v>4</v>
      </c>
      <c r="L86" s="347" t="s">
        <v>145</v>
      </c>
      <c r="M86" s="347">
        <v>4.4000000000000004</v>
      </c>
      <c r="N86" s="347" t="s">
        <v>62</v>
      </c>
      <c r="O86" s="348" t="str">
        <f>Fates_Table[[#This Row],[ID2]]&amp;"_"&amp;Fates_Table[[#This Row],[Score]]</f>
        <v>4.4_Very high</v>
      </c>
      <c r="P86" s="347">
        <v>0.6</v>
      </c>
    </row>
    <row r="87" spans="1:16" x14ac:dyDescent="0.2">
      <c r="A87" s="370"/>
      <c r="B87" s="371"/>
      <c r="C87" s="372"/>
      <c r="D87" s="372"/>
      <c r="E87" s="371"/>
      <c r="F87" s="373"/>
      <c r="G87" s="371"/>
      <c r="I87" s="347"/>
      <c r="J87" s="347"/>
      <c r="K87" s="347"/>
      <c r="L87" s="347"/>
      <c r="M87" s="347"/>
      <c r="N87" s="347"/>
      <c r="O87" s="348"/>
      <c r="P87" s="347"/>
    </row>
    <row r="88" spans="1:16" x14ac:dyDescent="0.2">
      <c r="A88" s="370"/>
      <c r="B88" s="371"/>
      <c r="C88" s="372"/>
      <c r="D88" s="372"/>
      <c r="E88" s="371"/>
      <c r="F88" s="373"/>
      <c r="G88" s="371"/>
      <c r="I88" s="347"/>
      <c r="J88" s="347"/>
      <c r="K88" s="347"/>
      <c r="L88" s="347"/>
      <c r="M88" s="347"/>
      <c r="N88" s="347"/>
      <c r="O88" s="348"/>
      <c r="P88" s="347"/>
    </row>
    <row r="89" spans="1:16" x14ac:dyDescent="0.2">
      <c r="A89" s="370"/>
      <c r="B89" s="371"/>
      <c r="C89" s="372"/>
      <c r="D89" s="372"/>
      <c r="E89" s="371"/>
      <c r="F89" s="373"/>
      <c r="G89" s="371"/>
      <c r="I89" s="347"/>
      <c r="J89" s="347"/>
      <c r="K89" s="347"/>
      <c r="L89" s="347"/>
      <c r="M89" s="347"/>
      <c r="N89" s="347"/>
      <c r="O89" s="348"/>
      <c r="P89" s="347"/>
    </row>
    <row r="90" spans="1:16" x14ac:dyDescent="0.2">
      <c r="A90" s="370"/>
      <c r="B90" s="371"/>
      <c r="C90" s="372"/>
      <c r="D90" s="372"/>
      <c r="E90" s="371"/>
      <c r="F90" s="373"/>
      <c r="G90" s="371"/>
      <c r="I90" s="347"/>
      <c r="J90" s="347"/>
      <c r="K90" s="347"/>
      <c r="L90" s="347"/>
      <c r="M90" s="347"/>
      <c r="N90" s="347"/>
      <c r="O90" s="348"/>
      <c r="P90" s="347"/>
    </row>
    <row r="91" spans="1:16" x14ac:dyDescent="0.2">
      <c r="A91" s="370"/>
      <c r="B91" s="371"/>
      <c r="C91" s="334"/>
      <c r="D91" s="372"/>
      <c r="E91" s="333"/>
      <c r="F91" s="373"/>
      <c r="G91" s="371"/>
      <c r="I91" s="347"/>
      <c r="J91" s="347"/>
      <c r="K91" s="347"/>
      <c r="L91" s="347"/>
      <c r="M91" s="347"/>
      <c r="N91" s="347"/>
      <c r="O91" s="348"/>
      <c r="P91" s="347"/>
    </row>
    <row r="92" spans="1:16" x14ac:dyDescent="0.2">
      <c r="A92" s="370"/>
      <c r="B92" s="371"/>
      <c r="C92" s="334"/>
      <c r="D92" s="372"/>
      <c r="E92" s="333"/>
      <c r="F92" s="373"/>
      <c r="G92" s="371"/>
      <c r="I92" s="347"/>
      <c r="K92" s="347"/>
      <c r="L92" s="347"/>
      <c r="M92" s="347"/>
      <c r="N92" s="347"/>
      <c r="O92" s="348"/>
      <c r="P92" s="347"/>
    </row>
    <row r="93" spans="1:16" x14ac:dyDescent="0.2">
      <c r="A93" s="370"/>
      <c r="B93" s="371"/>
      <c r="C93" s="334"/>
      <c r="D93" s="372"/>
      <c r="E93" s="371"/>
      <c r="F93" s="373"/>
      <c r="G93" s="371"/>
      <c r="O93" s="342"/>
    </row>
    <row r="94" spans="1:16" x14ac:dyDescent="0.2">
      <c r="A94" s="370"/>
      <c r="B94" s="371"/>
      <c r="C94" s="334"/>
      <c r="D94" s="372"/>
      <c r="E94" s="333"/>
      <c r="F94" s="373"/>
      <c r="G94" s="371"/>
    </row>
    <row r="95" spans="1:16" x14ac:dyDescent="0.2">
      <c r="A95" s="369"/>
      <c r="B95" s="371"/>
      <c r="C95" s="372"/>
      <c r="D95" s="372"/>
      <c r="E95" s="371"/>
      <c r="F95" s="373"/>
      <c r="G95" s="371"/>
    </row>
    <row r="96" spans="1:16" x14ac:dyDescent="0.2">
      <c r="A96" s="369"/>
      <c r="B96" s="371"/>
      <c r="C96" s="372"/>
      <c r="D96" s="372"/>
      <c r="E96" s="371"/>
      <c r="F96" s="373"/>
      <c r="G96" s="371"/>
    </row>
    <row r="97" spans="1:7" x14ac:dyDescent="0.2">
      <c r="A97" s="369"/>
      <c r="B97" s="371"/>
      <c r="C97" s="372"/>
      <c r="D97" s="372"/>
      <c r="E97" s="371"/>
      <c r="F97" s="373"/>
      <c r="G97" s="371"/>
    </row>
    <row r="98" spans="1:7" x14ac:dyDescent="0.2">
      <c r="A98" s="369"/>
      <c r="B98" s="371"/>
      <c r="C98" s="372"/>
      <c r="D98" s="372"/>
      <c r="E98" s="371"/>
      <c r="F98" s="373"/>
      <c r="G98" s="371"/>
    </row>
    <row r="99" spans="1:7" x14ac:dyDescent="0.2">
      <c r="A99" s="369"/>
      <c r="B99" s="371"/>
      <c r="C99" s="372"/>
      <c r="D99" s="372"/>
      <c r="E99" s="371"/>
      <c r="F99" s="373"/>
      <c r="G99" s="371"/>
    </row>
    <row r="100" spans="1:7" x14ac:dyDescent="0.2">
      <c r="A100" s="369"/>
      <c r="B100" s="371"/>
      <c r="C100" s="372"/>
      <c r="D100" s="372"/>
      <c r="E100" s="371"/>
      <c r="F100" s="373"/>
      <c r="G100" s="371"/>
    </row>
    <row r="101" spans="1:7" x14ac:dyDescent="0.2">
      <c r="A101" s="369"/>
      <c r="B101" s="371"/>
      <c r="C101" s="372"/>
      <c r="D101" s="372"/>
      <c r="E101" s="371"/>
      <c r="F101" s="373"/>
      <c r="G101" s="371"/>
    </row>
    <row r="102" spans="1:7" x14ac:dyDescent="0.2">
      <c r="A102" s="369"/>
      <c r="B102" s="371"/>
      <c r="C102" s="372"/>
      <c r="D102" s="372"/>
      <c r="E102" s="371"/>
      <c r="F102" s="373"/>
      <c r="G102" s="371"/>
    </row>
    <row r="103" spans="1:7" x14ac:dyDescent="0.2">
      <c r="A103" s="369"/>
      <c r="B103" s="371"/>
      <c r="C103" s="372"/>
      <c r="D103" s="372"/>
      <c r="E103" s="371"/>
      <c r="F103" s="373"/>
      <c r="G103" s="371"/>
    </row>
    <row r="104" spans="1:7" x14ac:dyDescent="0.2">
      <c r="A104" s="369"/>
      <c r="B104" s="371"/>
      <c r="C104" s="372"/>
      <c r="D104" s="372"/>
      <c r="E104" s="371"/>
      <c r="F104" s="373"/>
      <c r="G104" s="371"/>
    </row>
  </sheetData>
  <sheetProtection algorithmName="SHA-512" hashValue="xOj8yod1wqtv3WYPcSLGpKbXZa28cS8fLWfjsLKNu1Q3YzD/ZaR3z+g+iO0JSRjkJdTMkbtupXvpIsQTNDh6Hg==" saltValue="0npqSn/97VPH/+VCI4rY7Q==" spinCount="100000" sheet="1" objects="1" scenarios="1"/>
  <mergeCells count="5">
    <mergeCell ref="X1:Y1"/>
    <mergeCell ref="U1:V1"/>
    <mergeCell ref="R1:S1"/>
    <mergeCell ref="A1:G1"/>
    <mergeCell ref="I1:P1"/>
  </mergeCells>
  <pageMargins left="0.7" right="0.7" top="0.75" bottom="0.75" header="0.3" footer="0.3"/>
  <pageSetup paperSize="9" orientation="portrait" r:id="rId1"/>
  <tableParts count="5">
    <tablePart r:id="rId2"/>
    <tablePart r:id="rId3"/>
    <tablePart r:id="rId4"/>
    <tablePart r:id="rId5"/>
    <tablePart r:id="rId6"/>
  </tableParts>
  <extLst>
    <ext xmlns:x14="http://schemas.microsoft.com/office/spreadsheetml/2009/9/main" uri="{78C0D931-6437-407d-A8EE-F0AAD7539E65}">
      <x14:conditionalFormattings>
        <x14:conditionalFormatting xmlns:xm="http://schemas.microsoft.com/office/excel/2006/main">
          <x14:cfRule type="iconSet" priority="1" id="{DEEC6C08-9AA7-4F9B-8C7D-46148F94E6E3}">
            <x14:iconSet iconSet="3Symbols" showValue="0" custom="1">
              <x14:cfvo type="percent">
                <xm:f>0</xm:f>
              </x14:cfvo>
              <x14:cfvo type="num" gte="0">
                <xm:f>-9.9999999999999995E-8</xm:f>
              </x14:cfvo>
              <x14:cfvo type="num">
                <xm:f>9.9999999999999995E-8</xm:f>
              </x14:cfvo>
              <x14:cfIcon iconSet="3Symbols" iconId="1"/>
              <x14:cfIcon iconSet="3Symbols" iconId="2"/>
              <x14:cfIcon iconSet="3Symbols" iconId="1"/>
            </x14:iconSet>
          </x14:cfRule>
          <xm:sqref>X3:X5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B2920C180C4E4B84F7FAA099C665FE" ma:contentTypeVersion="12" ma:contentTypeDescription="Create a new document." ma:contentTypeScope="" ma:versionID="7847f9c96b9c86a646ec5dfa2e974be7">
  <xsd:schema xmlns:xsd="http://www.w3.org/2001/XMLSchema" xmlns:xs="http://www.w3.org/2001/XMLSchema" xmlns:p="http://schemas.microsoft.com/office/2006/metadata/properties" xmlns:ns2="3d01d3a7-2414-4042-8e23-f77622fb5a72" xmlns:ns3="94cbbe72-fe1e-4100-8646-eab0e6714c8d" targetNamespace="http://schemas.microsoft.com/office/2006/metadata/properties" ma:root="true" ma:fieldsID="e3e9e839738c4b140ff0628b164f8069" ns2:_="" ns3:_="">
    <xsd:import namespace="3d01d3a7-2414-4042-8e23-f77622fb5a72"/>
    <xsd:import namespace="94cbbe72-fe1e-4100-8646-eab0e6714c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1d3a7-2414-4042-8e23-f77622fb5a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cbbe72-fe1e-4100-8646-eab0e6714c8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8C7C71-AFFF-4A6A-8643-839B9D43C3F4}">
  <ds:schemaRefs>
    <ds:schemaRef ds:uri="http://schemas.microsoft.com/sharepoint/v3/contenttype/forms"/>
  </ds:schemaRefs>
</ds:datastoreItem>
</file>

<file path=customXml/itemProps2.xml><?xml version="1.0" encoding="utf-8"?>
<ds:datastoreItem xmlns:ds="http://schemas.openxmlformats.org/officeDocument/2006/customXml" ds:itemID="{6CD73D3B-9416-4D31-98AB-D26CDD551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1d3a7-2414-4042-8e23-f77622fb5a72"/>
    <ds:schemaRef ds:uri="94cbbe72-fe1e-4100-8646-eab0e6714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0A47F-EE8E-4511-983B-462CD46241A6}">
  <ds:schemaRefs>
    <ds:schemaRef ds:uri="http://purl.org/dc/elements/1.1/"/>
    <ds:schemaRef ds:uri="http://schemas.microsoft.com/office/2006/metadata/properties"/>
    <ds:schemaRef ds:uri="http://schemas.microsoft.com/office/2006/documentManagement/types"/>
    <ds:schemaRef ds:uri="http://purl.org/dc/terms/"/>
    <ds:schemaRef ds:uri="3d01d3a7-2414-4042-8e23-f77622fb5a72"/>
    <ds:schemaRef ds:uri="http://purl.org/dc/dcmitype/"/>
    <ds:schemaRef ds:uri="94cbbe72-fe1e-4100-8646-eab0e6714c8d"/>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18</vt:i4>
      </vt:variant>
    </vt:vector>
  </HeadingPairs>
  <TitlesOfParts>
    <vt:vector size="28" baseType="lpstr">
      <vt:lpstr>The Waste Flow Diagram Tool</vt:lpstr>
      <vt:lpstr>Case Study Details</vt:lpstr>
      <vt:lpstr>Baseline data entry</vt:lpstr>
      <vt:lpstr>Scenario data entry</vt:lpstr>
      <vt:lpstr>Flow diagrams</vt:lpstr>
      <vt:lpstr>Results summary</vt:lpstr>
      <vt:lpstr>Quick Reference Guide</vt:lpstr>
      <vt:lpstr>Calculations</vt:lpstr>
      <vt:lpstr>Settings</vt:lpstr>
      <vt:lpstr>Trouble Shooting</vt:lpstr>
      <vt:lpstr>'Quick Reference Guide'!_Ref32515964</vt:lpstr>
      <vt:lpstr>'The Waste Flow Diagram Tool'!_Toc27141015</vt:lpstr>
      <vt:lpstr>'The Waste Flow Diagram Tool'!_Toc27141016</vt:lpstr>
      <vt:lpstr>'The Waste Flow Diagram Tool'!_Toc33526191</vt:lpstr>
      <vt:lpstr>'Scenario data entry'!Material</vt:lpstr>
      <vt:lpstr>Material</vt:lpstr>
      <vt:lpstr>Scenario</vt:lpstr>
      <vt:lpstr>Type1</vt:lpstr>
      <vt:lpstr>Type2</vt:lpstr>
      <vt:lpstr>Type3</vt:lpstr>
      <vt:lpstr>Type4</vt:lpstr>
      <vt:lpstr>Type5</vt:lpstr>
      <vt:lpstr>Type6</vt:lpstr>
      <vt:lpstr>Type7</vt:lpstr>
      <vt:lpstr>Type8</vt:lpstr>
      <vt:lpstr>Type9</vt:lpstr>
      <vt:lpstr>'Scenario data entry'!Uncertainty_factors</vt:lpstr>
      <vt:lpstr>Uncertainty_factors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Cottom</dc:creator>
  <cp:keywords/>
  <dc:description/>
  <cp:lastModifiedBy>Steffen Blume</cp:lastModifiedBy>
  <cp:revision/>
  <cp:lastPrinted>2020-03-06T18:29:47Z</cp:lastPrinted>
  <dcterms:created xsi:type="dcterms:W3CDTF">2017-09-26T19:37:14Z</dcterms:created>
  <dcterms:modified xsi:type="dcterms:W3CDTF">2020-09-18T09:31:56Z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0x01010004B2920C180C4E4B84F7FAA099C665FE</vt:lpwstr>
  </property>
</Properties>
</file>